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ers\phil.jose\Documents\SmartView\NetSuite\Demo Spreadsheets\"/>
    </mc:Choice>
  </mc:AlternateContent>
  <bookViews>
    <workbookView xWindow="240" yWindow="75" windowWidth="15600" windowHeight="10545" tabRatio="847"/>
  </bookViews>
  <sheets>
    <sheet name="Variance" sheetId="7" r:id="rId1"/>
  </sheets>
  <definedNames>
    <definedName name="REP7CR" localSheetId="0" hidden="1">Variance!$C:$R</definedName>
    <definedName name="REP7P01" hidden="1">#REF!</definedName>
    <definedName name="SuppressionOnTriggers" localSheetId="0" hidden="1">FALSE</definedName>
    <definedName name="SuppressionRefresh" localSheetId="0" hidden="1">TRUE</definedName>
    <definedName name="SuppressPressed" localSheetId="0" hidden="1">TRUE</definedName>
    <definedName name="SuppressPressed" hidden="1">FALSE</definedName>
    <definedName name="SuppressRows" localSheetId="0" hidden="1">TRUE</definedName>
    <definedName name="SupressPressed" localSheetId="0" hidden="1">FALSE</definedName>
    <definedName name="SupressPressed" hidden="1">FALSE</definedName>
    <definedName name="VersionNumber" hidden="1">"4.6.5976"</definedName>
    <definedName name="xdif_AutomationMode" hidden="1">"AutomationSheet"</definedName>
    <definedName name="xdif_AutomationRange" hidden="1">#REF!</definedName>
    <definedName name="xdif_AutomationType01" hidden="1">"MultipleSheets"</definedName>
    <definedName name="xdif_RefreshIncludeLists" hidden="1">FALSE</definedName>
    <definedName name="xdif_SheetToAutomate01" hidden="1">#REF!</definedName>
    <definedName name="xdif635350649197591156__dataRowCount" localSheetId="0" hidden="1">180</definedName>
    <definedName name="xdif635350649197591156__userDefinedName" localSheetId="0" hidden="1">"Periods 1"</definedName>
    <definedName name="xdif635350649197591156_AboveLeft" localSheetId="0" hidden="1">TRUE</definedName>
    <definedName name="xdif635350649197591156_AboveLeftCells" localSheetId="0" hidden="1">1</definedName>
    <definedName name="xdif635350649197591156_AutoFilter" localSheetId="0" hidden="1">FALSE</definedName>
    <definedName name="xdif635350649197591156_Autofit" localSheetId="0" hidden="1">TRUE</definedName>
    <definedName name="xdif635350649197591156_BelowRight" localSheetId="0" hidden="1">TRUE</definedName>
    <definedName name="xdif635350649197591156_BelowRightCells" localSheetId="0" hidden="1">1</definedName>
    <definedName name="xdif635350649197591156_DestinationRange" localSheetId="0" hidden="1">Variance!$C$4</definedName>
    <definedName name="xdif635350649197591156_ObjectType" localSheetId="0" hidden="1">"Validation"</definedName>
    <definedName name="xdif635350649197591156_ParameterName00" localSheetId="0" hidden="1">"NSParentPeriod"</definedName>
    <definedName name="xdif635350649197591156_ParameterName01" localSheetId="0" hidden="1">"NSPeriodType"</definedName>
    <definedName name="xdif635350649197591156_RefreshMode" localSheetId="0" hidden="1">"Automatic"</definedName>
    <definedName name="xdif635350649197591156_SelectAliasItem01" localSheetId="0" hidden="1">"Period"</definedName>
    <definedName name="xdif635350649197591156_SelectColumnFormulaItem01" localSheetId="0" hidden="1">"="</definedName>
    <definedName name="xdif635350649197591156_SelectColumnNameItem01" localSheetId="0" hidden="1">"NAME"</definedName>
    <definedName name="xdif635350649197591156_SelectFormatStringItem01" localSheetId="0" hidden="1">"{@}"</definedName>
    <definedName name="xdif635350649197591156_SelectGroupItem01" localSheetId="0" hidden="1">"="</definedName>
    <definedName name="xdif635350649197591156_SelectItemRange01" localSheetId="0" hidden="1">Variance!$C$4</definedName>
    <definedName name="xdif635350649197591156_SelectItemType01" localSheetId="0" hidden="1">"Value"</definedName>
    <definedName name="xdif635350649197591156_SelectPathItem01" localSheetId="0" hidden="1">".ACCOUNTING_PERIODS,Accounting Periods"</definedName>
    <definedName name="xdif635350649197591156_SelectVisibleItem01" localSheetId="0" hidden="1">TRUE</definedName>
    <definedName name="xdif635350649197591156_ShowColumnHeaders" localSheetId="0" hidden="1">FALSE</definedName>
    <definedName name="xdif635350649197591156_SortAliasItem01" localSheetId="0" hidden="1">"Start Date"</definedName>
    <definedName name="xdif635350649197591156_SortColumnNameItem01" localSheetId="0" hidden="1">"STARTING"</definedName>
    <definedName name="xdif635350649197591156_SortOrderByItem01" localSheetId="0" hidden="1">"Asc"</definedName>
    <definedName name="xdif635350649197591156_SortPathItem01" localSheetId="0" hidden="1">".ACCOUNTING_PERIODS,Accounting Periods"</definedName>
    <definedName name="xdif635350649197591156_SourceObject" localSheetId="0" hidden="1">"NSAccountingPeriods"</definedName>
    <definedName name="xdif635350649197591156_UserValue00" localSheetId="0" hidden="1">"="</definedName>
    <definedName name="xdif635350649197591156_UserValue01" localSheetId="0" hidden="1">"P"</definedName>
    <definedName name="xdif635350649208290835__dataRowCount" localSheetId="0" hidden="1">9</definedName>
    <definedName name="xdif635350649208290835__userDefinedName" localSheetId="0" hidden="1">"Subsidiaries 1"</definedName>
    <definedName name="xdif635350649208290835_AboveLeft" localSheetId="0" hidden="1">TRUE</definedName>
    <definedName name="xdif635350649208290835_AboveLeftCells" localSheetId="0" hidden="1">1</definedName>
    <definedName name="xdif635350649208290835_AutoFilter" localSheetId="0" hidden="1">FALSE</definedName>
    <definedName name="xdif635350649208290835_Autofit" localSheetId="0" hidden="1">TRUE</definedName>
    <definedName name="xdif635350649208290835_BelowRight" localSheetId="0" hidden="1">TRUE</definedName>
    <definedName name="xdif635350649208290835_BelowRightCells" localSheetId="0" hidden="1">1</definedName>
    <definedName name="xdif635350649208290835_DestinationRange" localSheetId="0" hidden="1">Variance!$E$5</definedName>
    <definedName name="xdif635350649208290835_ObjectType" localSheetId="0" hidden="1">"Validation"</definedName>
    <definedName name="xdif635350649208290835_ParameterName00" localSheetId="0" hidden="1">"NSSubsidiary"</definedName>
    <definedName name="xdif635350649208290835_ParameterName01" localSheetId="0" hidden="1">"NSParentSubsidiary"</definedName>
    <definedName name="xdif635350649208290835_ParameterName02" localSheetId="0" hidden="1">"NSIncludeInactive"</definedName>
    <definedName name="xdif635350649208290835_ParameterName03" localSheetId="0" hidden="1">"NSIncludeConsolidated"</definedName>
    <definedName name="xdif635350649208290835_RefreshMode" localSheetId="0" hidden="1">"Automatic"</definedName>
    <definedName name="xdif635350649208290835_SelectAliasItem01" localSheetId="0" hidden="1">"Subsidiary"</definedName>
    <definedName name="xdif635350649208290835_SelectColumnFormulaItem01" localSheetId="0" hidden="1">"="</definedName>
    <definedName name="xdif635350649208290835_SelectColumnNameItem01" localSheetId="0" hidden="1">"FULL_NAME"</definedName>
    <definedName name="xdif635350649208290835_SelectFormatStringItem01" localSheetId="0" hidden="1">"{}"</definedName>
    <definedName name="xdif635350649208290835_SelectGroupItem01" localSheetId="0" hidden="1">"="</definedName>
    <definedName name="xdif635350649208290835_SelectItemRange01" localSheetId="0" hidden="1">Variance!$E$5</definedName>
    <definedName name="xdif635350649208290835_SelectItemType01" localSheetId="0" hidden="1">"Value"</definedName>
    <definedName name="xdif635350649208290835_SelectPathItem01" localSheetId="0" hidden="1">".SUBSIDIARY_LIST,SUBSIDIARY_LIST"</definedName>
    <definedName name="xdif635350649208290835_SelectVisibleItem01" localSheetId="0" hidden="1">TRUE</definedName>
    <definedName name="xdif635350649208290835_ShowColumnHeaders" localSheetId="0" hidden="1">FALSE</definedName>
    <definedName name="xdif635350649208290835_SourceObject" localSheetId="0" hidden="1">"NSSubsidiaries"</definedName>
    <definedName name="xdif635350649208290835_UserValue00" localSheetId="0" hidden="1">"="</definedName>
    <definedName name="xdif635350649208290835_UserValue01" localSheetId="0" hidden="1">"="</definedName>
    <definedName name="xdif635350649208290835_UserValue02" localSheetId="0" hidden="1">"="</definedName>
    <definedName name="xdif635350649208290835_UserValue03" localSheetId="0" hidden="1">"="</definedName>
    <definedName name="xdif635350649219790490__dataRowCount" localSheetId="0" hidden="1">4</definedName>
    <definedName name="xdif635350649219790490__userDefinedName" localSheetId="0" hidden="1">"Budget Categories 1"</definedName>
    <definedName name="xdif635350649219790490_AboveLeft" localSheetId="0" hidden="1">TRUE</definedName>
    <definedName name="xdif635350649219790490_AboveLeftCells" localSheetId="0" hidden="1">1</definedName>
    <definedName name="xdif635350649219790490_AutoFilter" localSheetId="0" hidden="1">FALSE</definedName>
    <definedName name="xdif635350649219790490_Autofit" localSheetId="0" hidden="1">TRUE</definedName>
    <definedName name="xdif635350649219790490_BelowRight" localSheetId="0" hidden="1">TRUE</definedName>
    <definedName name="xdif635350649219790490_BelowRightCells" localSheetId="0" hidden="1">1</definedName>
    <definedName name="xdif635350649219790490_DestinationRange" localSheetId="0" hidden="1">Variance!$C$5</definedName>
    <definedName name="xdif635350649219790490_ObjectType" localSheetId="0" hidden="1">"Validation"</definedName>
    <definedName name="xdif635350649219790490_ParameterName00" localSheetId="0" hidden="1">"NSIncludeInactive"</definedName>
    <definedName name="xdif635350649219790490_RefreshMode" localSheetId="0" hidden="1">"Automatic"</definedName>
    <definedName name="xdif635350649219790490_SelectAliasItem01" localSheetId="0" hidden="1">"Budget Name"</definedName>
    <definedName name="xdif635350649219790490_SelectColumnFormulaItem01" localSheetId="0" hidden="1">"="</definedName>
    <definedName name="xdif635350649219790490_SelectColumnNameItem01" localSheetId="0" hidden="1">"NAME"</definedName>
    <definedName name="xdif635350649219790490_SelectFormatStringItem01" localSheetId="0" hidden="1">"{}"</definedName>
    <definedName name="xdif635350649219790490_SelectGroupItem01" localSheetId="0" hidden="1">"="</definedName>
    <definedName name="xdif635350649219790490_SelectItemRange01" localSheetId="0" hidden="1">Variance!$C$5</definedName>
    <definedName name="xdif635350649219790490_SelectItemType01" localSheetId="0" hidden="1">"Value"</definedName>
    <definedName name="xdif635350649219790490_SelectPathItem01" localSheetId="0" hidden="1">".BUDGET_CATEGORY,Budget Category"</definedName>
    <definedName name="xdif635350649219790490_SelectVisibleItem01" localSheetId="0" hidden="1">TRUE</definedName>
    <definedName name="xdif635350649219790490_ShowColumnHeaders" localSheetId="0" hidden="1">FALSE</definedName>
    <definedName name="xdif635350649219790490_SortAliasItem01" localSheetId="0" hidden="1">"Budget Name"</definedName>
    <definedName name="xdif635350649219790490_SortColumnNameItem01" localSheetId="0" hidden="1">"NAME"</definedName>
    <definedName name="xdif635350649219790490_SortOrderByItem01" localSheetId="0" hidden="1">"Asc"</definedName>
    <definedName name="xdif635350649219790490_SortPathItem01" localSheetId="0" hidden="1">".BUDGET_CATEGORY,Budget Category"</definedName>
    <definedName name="xdif635350649219790490_SourceObject" localSheetId="0" hidden="1">"NSBudgetCategory"</definedName>
    <definedName name="xdif635350649219790490_UserValue00" localSheetId="0" hidden="1">"="</definedName>
    <definedName name="xdif635350649229590196__dataRowCount" localSheetId="0" hidden="1">83</definedName>
    <definedName name="xdif635350649229590196__userDefinedName" localSheetId="0" hidden="1">"Accounts (by Number) 1"</definedName>
    <definedName name="xdif635350649229590196_AboveLeft" localSheetId="0" hidden="1">TRUE</definedName>
    <definedName name="xdif635350649229590196_AboveLeftCells" localSheetId="0" hidden="1">1</definedName>
    <definedName name="xdif635350649229590196_AutoFilter" localSheetId="0" hidden="1">FALSE</definedName>
    <definedName name="xdif635350649229590196_Autofit" localSheetId="0" hidden="1">TRUE</definedName>
    <definedName name="xdif635350649229590196_BelowRight" localSheetId="0" hidden="1">TRUE</definedName>
    <definedName name="xdif635350649229590196_BelowRightCells" localSheetId="0" hidden="1">1</definedName>
    <definedName name="xdif635350649229590196_DestinationRange" localSheetId="0" hidden="1">Variance!$G$9:$H$107</definedName>
    <definedName name="xdif635350649229590196_ObjectType" localSheetId="0" hidden="1">"ListVertical"</definedName>
    <definedName name="xdif635350649229590196_ParameterName00" localSheetId="0" hidden="1">"NSSubsidiary"</definedName>
    <definedName name="xdif635350649229590196_ParameterName01" localSheetId="0" hidden="1">"NSAccountNumber"</definedName>
    <definedName name="xdif635350649229590196_ParameterName02" localSheetId="0" hidden="1">"NSAccountNumberEx"</definedName>
    <definedName name="xdif635350649229590196_ParameterName03" localSheetId="0" hidden="1">"NSIncludeInactive"</definedName>
    <definedName name="xdif635350649229590196_RefreshMode" localSheetId="0" hidden="1">"Automatic"</definedName>
    <definedName name="xdif635350649229590196_SelectAliasItem01" localSheetId="0" hidden="1">"Account No."</definedName>
    <definedName name="xdif635350649229590196_SelectAliasItem02" localSheetId="0" hidden="1">"Account Name"</definedName>
    <definedName name="xdif635350649229590196_SelectColumnFormulaItem01" localSheetId="0" hidden="1">"="</definedName>
    <definedName name="xdif635350649229590196_SelectColumnFormulaItem02" localSheetId="0" hidden="1">"="</definedName>
    <definedName name="xdif635350649229590196_SelectColumnNameItem01" localSheetId="0" hidden="1">"ACCOUNTNUMBER"</definedName>
    <definedName name="xdif635350649229590196_SelectColumnNameItem02" localSheetId="0" hidden="1">"NAME"</definedName>
    <definedName name="xdif635350649229590196_SelectFormatStringItem01" localSheetId="0" hidden="1">"{@}"</definedName>
    <definedName name="xdif635350649229590196_SelectFormatStringItem02" localSheetId="0" hidden="1">"{}"</definedName>
    <definedName name="xdif635350649229590196_SelectGroupItem01" localSheetId="0" hidden="1">"="</definedName>
    <definedName name="xdif635350649229590196_SelectGroupItem02" localSheetId="0" hidden="1">"="</definedName>
    <definedName name="xdif635350649229590196_SelectItemRange01" localSheetId="0" hidden="1">Variance!$G$9:$G$107</definedName>
    <definedName name="xdif635350649229590196_SelectItemRange02" localSheetId="0" hidden="1">Variance!$H$9:$H$107</definedName>
    <definedName name="xdif635350649229590196_SelectItemType01" localSheetId="0" hidden="1">"Value"</definedName>
    <definedName name="xdif635350649229590196_SelectItemType02" localSheetId="0" hidden="1">"Value"</definedName>
    <definedName name="xdif635350649229590196_SelectPathItem01" localSheetId="0" hidden="1">".ACCOUNTS,Accounts"</definedName>
    <definedName name="xdif635350649229590196_SelectPathItem02" localSheetId="0" hidden="1">".ACCOUNTS,Accounts"</definedName>
    <definedName name="xdif635350649229590196_SelectVisibleItem01" localSheetId="0" hidden="1">TRUE</definedName>
    <definedName name="xdif635350649229590196_SelectVisibleItem02" localSheetId="0" hidden="1">TRUE</definedName>
    <definedName name="xdif635350649229590196_ShowColumnHeaders" localSheetId="0" hidden="1">FALSE</definedName>
    <definedName name="xdif635350649229590196_SortAliasItem01" localSheetId="0" hidden="1">"Account No."</definedName>
    <definedName name="xdif635350649229590196_SortColumnNameItem01" localSheetId="0" hidden="1">"ACCOUNTNUMBER"</definedName>
    <definedName name="xdif635350649229590196_SortOrderByItem01" localSheetId="0" hidden="1">"Asc"</definedName>
    <definedName name="xdif635350649229590196_SortPathItem01" localSheetId="0" hidden="1">".ACCOUNTS,Accounts"</definedName>
    <definedName name="xdif635350649229590196_SourceObject" localSheetId="0" hidden="1">"NSAccountsByNumber"</definedName>
    <definedName name="xdif635350649229590196_UserValue00" localSheetId="0" hidden="1">"HH Inc. (Consolidated)"</definedName>
    <definedName name="xdif635350649229590196_UserValue01" localSheetId="0" hidden="1">{"4*","5*","6*","7*","8*","9*"}</definedName>
    <definedName name="xdif635350649229590196_UserValue02" localSheetId="0" hidden="1">"="</definedName>
    <definedName name="xdif635350649229590196_UserValue03" localSheetId="0" hidden="1">"="</definedName>
    <definedName name="xdifExcludeHiddenBudgetUpload">TRUE</definedName>
    <definedName name="xdifSelectedSheetsBudgetUpload">{"Full Year - Budget"}</definedName>
  </definedNames>
  <calcPr calcId="171027" concurrentManualCount="20"/>
</workbook>
</file>

<file path=xl/calcChain.xml><?xml version="1.0" encoding="utf-8"?>
<calcChain xmlns="http://schemas.openxmlformats.org/spreadsheetml/2006/main">
  <c r="H107" i="7" l="1"/>
  <c r="G107" i="7"/>
  <c r="H106" i="7"/>
  <c r="G106" i="7"/>
  <c r="H100" i="7"/>
  <c r="G100" i="7"/>
  <c r="H99" i="7"/>
  <c r="G99" i="7"/>
  <c r="H98" i="7"/>
  <c r="G98" i="7"/>
  <c r="H97" i="7"/>
  <c r="G97" i="7"/>
  <c r="H96" i="7"/>
  <c r="G96" i="7"/>
  <c r="H95" i="7"/>
  <c r="G95" i="7"/>
  <c r="H94" i="7"/>
  <c r="G94" i="7"/>
  <c r="H93" i="7"/>
  <c r="G93" i="7"/>
  <c r="H87" i="7"/>
  <c r="G87" i="7"/>
  <c r="H86" i="7"/>
  <c r="G86" i="7"/>
  <c r="H85" i="7"/>
  <c r="G85" i="7"/>
  <c r="H84" i="7"/>
  <c r="G84" i="7"/>
  <c r="H83" i="7"/>
  <c r="G83" i="7"/>
  <c r="H82" i="7"/>
  <c r="G82" i="7"/>
  <c r="H81" i="7"/>
  <c r="G81" i="7"/>
  <c r="H80" i="7"/>
  <c r="G80" i="7"/>
  <c r="H79" i="7"/>
  <c r="G79" i="7"/>
  <c r="H78" i="7"/>
  <c r="G78" i="7"/>
  <c r="H77" i="7"/>
  <c r="G77" i="7"/>
  <c r="H76" i="7"/>
  <c r="G76" i="7"/>
  <c r="H75" i="7"/>
  <c r="G75" i="7"/>
  <c r="H74" i="7"/>
  <c r="G74" i="7"/>
  <c r="H73" i="7"/>
  <c r="G73" i="7"/>
  <c r="H72" i="7"/>
  <c r="G72" i="7"/>
  <c r="H71" i="7"/>
  <c r="G71" i="7"/>
  <c r="H70" i="7"/>
  <c r="G70" i="7"/>
  <c r="H69" i="7"/>
  <c r="G69" i="7"/>
  <c r="H68" i="7"/>
  <c r="G68" i="7"/>
  <c r="H67" i="7"/>
  <c r="G67" i="7"/>
  <c r="H66" i="7"/>
  <c r="G66" i="7"/>
  <c r="H65" i="7"/>
  <c r="G65" i="7"/>
  <c r="H64" i="7"/>
  <c r="G64" i="7"/>
  <c r="H63" i="7"/>
  <c r="G63" i="7"/>
  <c r="H62" i="7"/>
  <c r="G62" i="7"/>
  <c r="H61" i="7"/>
  <c r="G61" i="7"/>
  <c r="H60" i="7"/>
  <c r="G60" i="7"/>
  <c r="H59" i="7"/>
  <c r="G59" i="7"/>
  <c r="H58" i="7"/>
  <c r="G58" i="7"/>
  <c r="H57" i="7"/>
  <c r="G57" i="7"/>
  <c r="H56" i="7"/>
  <c r="G56" i="7"/>
  <c r="H55" i="7"/>
  <c r="G55" i="7"/>
  <c r="H54" i="7"/>
  <c r="G54" i="7"/>
  <c r="H53" i="7"/>
  <c r="G53" i="7"/>
  <c r="H52" i="7"/>
  <c r="G52" i="7"/>
  <c r="H51" i="7"/>
  <c r="G51" i="7"/>
  <c r="H50" i="7"/>
  <c r="G50" i="7"/>
  <c r="H49" i="7"/>
  <c r="G49" i="7"/>
  <c r="H48" i="7"/>
  <c r="G48" i="7"/>
  <c r="H47" i="7"/>
  <c r="G47" i="7"/>
  <c r="H46" i="7"/>
  <c r="G46" i="7"/>
  <c r="H45" i="7"/>
  <c r="G45" i="7"/>
  <c r="H44" i="7"/>
  <c r="G44" i="7"/>
  <c r="H43" i="7"/>
  <c r="G43" i="7"/>
  <c r="H42" i="7"/>
  <c r="G42" i="7"/>
  <c r="H36" i="7"/>
  <c r="G36" i="7"/>
  <c r="H35" i="7"/>
  <c r="G35" i="7"/>
  <c r="H34" i="7"/>
  <c r="G34" i="7"/>
  <c r="H33" i="7"/>
  <c r="G33" i="7"/>
  <c r="H32" i="7"/>
  <c r="G32" i="7"/>
  <c r="H31" i="7"/>
  <c r="G31" i="7"/>
  <c r="H30" i="7"/>
  <c r="G30" i="7"/>
  <c r="H29" i="7"/>
  <c r="G29" i="7"/>
  <c r="H28" i="7"/>
  <c r="G28" i="7"/>
  <c r="H27" i="7"/>
  <c r="G27" i="7"/>
  <c r="H26" i="7"/>
  <c r="G26" i="7"/>
  <c r="H25" i="7"/>
  <c r="G25" i="7"/>
  <c r="H24" i="7"/>
  <c r="G24" i="7"/>
  <c r="H23" i="7"/>
  <c r="G23" i="7"/>
  <c r="H22" i="7"/>
  <c r="G22" i="7"/>
  <c r="H21" i="7"/>
  <c r="G21" i="7"/>
  <c r="H20" i="7"/>
  <c r="G20" i="7"/>
  <c r="H19" i="7"/>
  <c r="G19" i="7"/>
  <c r="H18" i="7"/>
  <c r="G18" i="7"/>
  <c r="H14" i="7"/>
  <c r="G14" i="7"/>
  <c r="H13" i="7"/>
  <c r="G13" i="7"/>
  <c r="H12" i="7"/>
  <c r="G12" i="7"/>
  <c r="H11" i="7"/>
  <c r="G11" i="7"/>
  <c r="H10" i="7"/>
  <c r="G10" i="7"/>
  <c r="H9" i="7"/>
  <c r="G9" i="7"/>
  <c r="P2" i="7"/>
  <c r="N2" i="7"/>
  <c r="J2" i="7"/>
  <c r="E2" i="7"/>
  <c r="P1" i="7"/>
  <c r="N1" i="7"/>
  <c r="J1" i="7"/>
  <c r="E1" i="7"/>
  <c r="N78" i="7"/>
  <c r="N93" i="7"/>
  <c r="N94" i="7"/>
  <c r="N50" i="7"/>
  <c r="N49" i="7"/>
  <c r="K80" i="7"/>
  <c r="D73" i="7"/>
  <c r="D33" i="7"/>
  <c r="J95" i="7"/>
  <c r="J13" i="7"/>
  <c r="C95" i="7"/>
  <c r="D76" i="7"/>
  <c r="C68" i="7"/>
  <c r="P85" i="7"/>
  <c r="D34" i="7"/>
  <c r="P97" i="7"/>
  <c r="P78" i="7"/>
  <c r="D99" i="7"/>
  <c r="C82" i="7"/>
  <c r="K14" i="7"/>
  <c r="J30" i="7"/>
  <c r="J36" i="7"/>
  <c r="D74" i="7"/>
  <c r="K97" i="7"/>
  <c r="J9" i="7"/>
  <c r="N81" i="7"/>
  <c r="K82" i="7"/>
  <c r="J50" i="7"/>
  <c r="P94" i="7"/>
  <c r="D83" i="7"/>
  <c r="K29" i="7"/>
  <c r="N43" i="7"/>
  <c r="K61" i="7"/>
  <c r="K74" i="7"/>
  <c r="P57" i="7"/>
  <c r="N33" i="7"/>
  <c r="D53" i="7"/>
  <c r="J53" i="7"/>
  <c r="C97" i="7"/>
  <c r="K51" i="7"/>
  <c r="N96" i="7"/>
  <c r="K79" i="7"/>
  <c r="C84" i="7"/>
  <c r="C80" i="7"/>
  <c r="D35" i="7"/>
  <c r="K71" i="7"/>
  <c r="D66" i="7"/>
  <c r="P106" i="7"/>
  <c r="P47" i="7"/>
  <c r="D87" i="7"/>
  <c r="K93" i="7"/>
  <c r="J71" i="7"/>
  <c r="P100" i="7"/>
  <c r="D25" i="7"/>
  <c r="C106" i="7"/>
  <c r="C76" i="7"/>
  <c r="N45" i="7"/>
  <c r="P55" i="7"/>
  <c r="K31" i="7"/>
  <c r="K81" i="7"/>
  <c r="N82" i="7"/>
  <c r="P58" i="7"/>
  <c r="C64" i="7"/>
  <c r="J33" i="7"/>
  <c r="N72" i="7"/>
  <c r="K21" i="7"/>
  <c r="P13" i="7"/>
  <c r="K106" i="7"/>
  <c r="J28" i="7"/>
  <c r="J19" i="7"/>
  <c r="N70" i="7"/>
  <c r="C24" i="7"/>
  <c r="K11" i="7"/>
  <c r="C71" i="7"/>
  <c r="D32" i="7"/>
  <c r="C75" i="7"/>
  <c r="J46" i="7"/>
  <c r="K94" i="7"/>
  <c r="P23" i="7"/>
  <c r="J29" i="7"/>
  <c r="K85" i="7"/>
  <c r="N73" i="7"/>
  <c r="N14" i="7"/>
  <c r="N57" i="7"/>
  <c r="N30" i="7"/>
  <c r="N87" i="7"/>
  <c r="K65" i="7"/>
  <c r="J60" i="7"/>
  <c r="C53" i="7"/>
  <c r="D23" i="7"/>
  <c r="K44" i="7"/>
  <c r="J49" i="7"/>
  <c r="P62" i="7"/>
  <c r="C78" i="7"/>
  <c r="C29" i="7"/>
  <c r="C98" i="7"/>
  <c r="K54" i="7"/>
  <c r="J45" i="7"/>
  <c r="P19" i="7"/>
  <c r="D80" i="7"/>
  <c r="P60" i="7"/>
  <c r="D55" i="7"/>
  <c r="C56" i="7"/>
  <c r="D31" i="7"/>
  <c r="D49" i="7"/>
  <c r="J65" i="7"/>
  <c r="N63" i="7"/>
  <c r="N27" i="7"/>
  <c r="D22" i="7"/>
  <c r="C49" i="7"/>
  <c r="P86" i="7"/>
  <c r="D56" i="7"/>
  <c r="P42" i="7"/>
  <c r="J22" i="7"/>
  <c r="P51" i="7"/>
  <c r="D75" i="7"/>
  <c r="N32" i="7"/>
  <c r="C61" i="7"/>
  <c r="P96" i="7"/>
  <c r="P32" i="7"/>
  <c r="N25" i="7"/>
  <c r="P61" i="7"/>
  <c r="P28" i="7"/>
  <c r="C13" i="7"/>
  <c r="C54" i="7"/>
  <c r="P50" i="7"/>
  <c r="N106" i="7"/>
  <c r="K76" i="7"/>
  <c r="C58" i="7"/>
  <c r="J98" i="7"/>
  <c r="D85" i="7"/>
  <c r="J35" i="7"/>
  <c r="C87" i="7"/>
  <c r="N86" i="7"/>
  <c r="D10" i="7"/>
  <c r="J68" i="7"/>
  <c r="J10" i="7"/>
  <c r="N99" i="7"/>
  <c r="C83" i="7"/>
  <c r="C94" i="7"/>
  <c r="J47" i="7"/>
  <c r="N85" i="7"/>
  <c r="P34" i="7"/>
  <c r="J54" i="7"/>
  <c r="N11" i="7"/>
  <c r="P10" i="7"/>
  <c r="D9" i="7"/>
  <c r="K63" i="7"/>
  <c r="N80" i="7"/>
  <c r="P35" i="7"/>
  <c r="J99" i="7"/>
  <c r="K43" i="7"/>
  <c r="N107" i="7"/>
  <c r="D71" i="7"/>
  <c r="K87" i="7"/>
  <c r="P83" i="7"/>
  <c r="N55" i="7"/>
  <c r="C72" i="7"/>
  <c r="K12" i="7"/>
  <c r="P25" i="7"/>
  <c r="N97" i="7"/>
  <c r="K55" i="7"/>
  <c r="J62" i="7"/>
  <c r="D70" i="7"/>
  <c r="N68" i="7"/>
  <c r="N9" i="7"/>
  <c r="N42" i="7"/>
  <c r="N95" i="7"/>
  <c r="N84" i="7"/>
  <c r="D84" i="7"/>
  <c r="C45" i="7"/>
  <c r="P84" i="7"/>
  <c r="C33" i="7"/>
  <c r="J77" i="7"/>
  <c r="P65" i="7"/>
  <c r="P77" i="7"/>
  <c r="D54" i="7"/>
  <c r="D61" i="7"/>
  <c r="C50" i="7"/>
  <c r="K33" i="7"/>
  <c r="K86" i="7"/>
  <c r="D98" i="7"/>
  <c r="J56" i="7"/>
  <c r="D48" i="7"/>
  <c r="C107" i="7"/>
  <c r="J72" i="7"/>
  <c r="N74" i="7"/>
  <c r="K10" i="7"/>
  <c r="J44" i="7"/>
  <c r="P107" i="7"/>
  <c r="C86" i="7"/>
  <c r="D69" i="7"/>
  <c r="K64" i="7"/>
  <c r="C59" i="7"/>
  <c r="J27" i="7"/>
  <c r="N60" i="7"/>
  <c r="P31" i="7"/>
  <c r="C70" i="7"/>
  <c r="D81" i="7"/>
  <c r="P64" i="7"/>
  <c r="J82" i="7"/>
  <c r="D30" i="7"/>
  <c r="N23" i="7"/>
  <c r="J57" i="7"/>
  <c r="C60" i="7"/>
  <c r="J26" i="7"/>
  <c r="P76" i="7"/>
  <c r="K83" i="7"/>
  <c r="C79" i="7"/>
  <c r="C52" i="7"/>
  <c r="J25" i="7"/>
  <c r="J74" i="7"/>
  <c r="D14" i="7"/>
  <c r="K25" i="7"/>
  <c r="N61" i="7"/>
  <c r="K13" i="7"/>
  <c r="C62" i="7"/>
  <c r="P99" i="7"/>
  <c r="P20" i="7"/>
  <c r="K46" i="7"/>
  <c r="K26" i="7"/>
  <c r="P21" i="7"/>
  <c r="J42" i="7"/>
  <c r="K67" i="7"/>
  <c r="D59" i="7"/>
  <c r="K77" i="7"/>
  <c r="J85" i="7"/>
  <c r="P71" i="7"/>
  <c r="C25" i="7"/>
  <c r="K96" i="7"/>
  <c r="D82" i="7"/>
  <c r="N75" i="7"/>
  <c r="K66" i="7"/>
  <c r="D86" i="7"/>
  <c r="P44" i="7"/>
  <c r="J12" i="7"/>
  <c r="N21" i="7"/>
  <c r="P93" i="7"/>
  <c r="D50" i="7"/>
  <c r="P52" i="7"/>
  <c r="C99" i="7"/>
  <c r="J80" i="7"/>
  <c r="N22" i="7"/>
  <c r="C34" i="7"/>
  <c r="J34" i="7"/>
  <c r="J59" i="7"/>
  <c r="K18" i="7"/>
  <c r="D107" i="7"/>
  <c r="C69" i="7"/>
  <c r="J96" i="7"/>
  <c r="D96" i="7"/>
  <c r="N34" i="7"/>
  <c r="P27" i="7"/>
  <c r="P98" i="7"/>
  <c r="D29" i="7"/>
  <c r="N62" i="7"/>
  <c r="P46" i="7"/>
  <c r="J18" i="7"/>
  <c r="D65" i="7"/>
  <c r="D13" i="7"/>
  <c r="P63" i="7"/>
  <c r="J81" i="7"/>
  <c r="J79" i="7"/>
  <c r="K72" i="7"/>
  <c r="D57" i="7"/>
  <c r="C55" i="7"/>
  <c r="C85" i="7"/>
  <c r="C9" i="7"/>
  <c r="K49" i="7"/>
  <c r="D52" i="7"/>
  <c r="P36" i="7"/>
  <c r="C66" i="7"/>
  <c r="D93" i="7"/>
  <c r="N54" i="7"/>
  <c r="D63" i="7"/>
  <c r="D21" i="7"/>
  <c r="C48" i="7"/>
  <c r="P29" i="7"/>
  <c r="K52" i="7"/>
  <c r="N69" i="7"/>
  <c r="K56" i="7"/>
  <c r="J87" i="7"/>
  <c r="N64" i="7"/>
  <c r="K47" i="7"/>
  <c r="D46" i="7"/>
  <c r="N58" i="7"/>
  <c r="N76" i="7"/>
  <c r="N59" i="7"/>
  <c r="N65" i="7"/>
  <c r="D36" i="7"/>
  <c r="K70" i="7"/>
  <c r="P70" i="7"/>
  <c r="K50" i="7"/>
  <c r="J75" i="7"/>
  <c r="C21" i="7"/>
  <c r="C74" i="7"/>
  <c r="K35" i="7"/>
  <c r="K20" i="7"/>
  <c r="J31" i="7"/>
  <c r="C96" i="7"/>
  <c r="P59" i="7"/>
  <c r="K60" i="7"/>
  <c r="K59" i="7"/>
  <c r="D45" i="7"/>
  <c r="K28" i="7"/>
  <c r="P80" i="7"/>
  <c r="C81" i="7"/>
  <c r="P87" i="7"/>
  <c r="K23" i="7"/>
  <c r="N48" i="7"/>
  <c r="N35" i="7"/>
  <c r="N47" i="7"/>
  <c r="J67" i="7"/>
  <c r="K57" i="7"/>
  <c r="D26" i="7"/>
  <c r="J52" i="7"/>
  <c r="K30" i="7"/>
  <c r="C47" i="7"/>
  <c r="D43" i="7"/>
  <c r="C32" i="7"/>
  <c r="C57" i="7"/>
  <c r="D44" i="7"/>
  <c r="P9" i="7"/>
  <c r="D64" i="7"/>
  <c r="P22" i="7"/>
  <c r="P74" i="7"/>
  <c r="J63" i="7"/>
  <c r="P33" i="7"/>
  <c r="C43" i="7"/>
  <c r="D67" i="7"/>
  <c r="D51" i="7"/>
  <c r="J21" i="7"/>
  <c r="K73" i="7"/>
  <c r="D11" i="7"/>
  <c r="J76" i="7"/>
  <c r="D100" i="7"/>
  <c r="P95" i="7"/>
  <c r="J58" i="7"/>
  <c r="J20" i="7"/>
  <c r="J66" i="7"/>
  <c r="K95" i="7"/>
  <c r="J106" i="7"/>
  <c r="D47" i="7"/>
  <c r="C26" i="7"/>
  <c r="D60" i="7"/>
  <c r="K68" i="7"/>
  <c r="N19" i="7"/>
  <c r="K53" i="7"/>
  <c r="P72" i="7"/>
  <c r="K62" i="7"/>
  <c r="J24" i="7"/>
  <c r="C42" i="7"/>
  <c r="N83" i="7"/>
  <c r="J61" i="7"/>
  <c r="D28" i="7"/>
  <c r="P68" i="7"/>
  <c r="N53" i="7"/>
  <c r="N36" i="7"/>
  <c r="N44" i="7"/>
  <c r="N67" i="7"/>
  <c r="D77" i="7"/>
  <c r="K45" i="7"/>
  <c r="J14" i="7"/>
  <c r="C63" i="7"/>
  <c r="P14" i="7"/>
  <c r="K78" i="7"/>
  <c r="D19" i="7"/>
  <c r="K22" i="7"/>
  <c r="C18" i="7"/>
  <c r="P11" i="7"/>
  <c r="J93" i="7"/>
  <c r="C73" i="7"/>
  <c r="J70" i="7"/>
  <c r="D106" i="7"/>
  <c r="P24" i="7"/>
  <c r="C20" i="7"/>
  <c r="P79" i="7"/>
  <c r="D18" i="7"/>
  <c r="J55" i="7"/>
  <c r="P67" i="7"/>
  <c r="N31" i="7"/>
  <c r="P43" i="7"/>
  <c r="J64" i="7"/>
  <c r="P54" i="7"/>
  <c r="K42" i="7"/>
  <c r="D79" i="7"/>
  <c r="K100" i="7"/>
  <c r="C12" i="7"/>
  <c r="N26" i="7"/>
  <c r="C51" i="7"/>
  <c r="K69" i="7"/>
  <c r="D68" i="7"/>
  <c r="C65" i="7"/>
  <c r="D95" i="7"/>
  <c r="J84" i="7"/>
  <c r="N24" i="7"/>
  <c r="D27" i="7"/>
  <c r="J51" i="7"/>
  <c r="C14" i="7"/>
  <c r="N100" i="7"/>
  <c r="C22" i="7"/>
  <c r="D72" i="7"/>
  <c r="D58" i="7"/>
  <c r="N18" i="7"/>
  <c r="P48" i="7"/>
  <c r="C77" i="7"/>
  <c r="J97" i="7"/>
  <c r="D97" i="7"/>
  <c r="C23" i="7"/>
  <c r="J11" i="7"/>
  <c r="J107" i="7"/>
  <c r="D62" i="7"/>
  <c r="J32" i="7"/>
  <c r="C11" i="7"/>
  <c r="K48" i="7"/>
  <c r="N66" i="7"/>
  <c r="C100" i="7"/>
  <c r="P18" i="7"/>
  <c r="K32" i="7"/>
  <c r="N79" i="7"/>
  <c r="J78" i="7"/>
  <c r="J94" i="7"/>
  <c r="P30" i="7"/>
  <c r="N56" i="7"/>
  <c r="P66" i="7"/>
  <c r="K27" i="7"/>
  <c r="D24" i="7"/>
  <c r="D42" i="7"/>
  <c r="P81" i="7"/>
  <c r="C46" i="7"/>
  <c r="J48" i="7"/>
  <c r="N12" i="7"/>
  <c r="C10" i="7"/>
  <c r="C28" i="7"/>
  <c r="J100" i="7"/>
  <c r="N13" i="7"/>
  <c r="K75" i="7"/>
  <c r="P75" i="7"/>
  <c r="K98" i="7"/>
  <c r="J86" i="7"/>
  <c r="C67" i="7"/>
  <c r="D78" i="7"/>
  <c r="P26" i="7"/>
  <c r="C31" i="7"/>
  <c r="P53" i="7"/>
  <c r="N28" i="7"/>
  <c r="J23" i="7"/>
  <c r="P49" i="7"/>
  <c r="C36" i="7"/>
  <c r="N10" i="7"/>
  <c r="P73" i="7"/>
  <c r="K24" i="7"/>
  <c r="N77" i="7"/>
  <c r="C27" i="7"/>
  <c r="P56" i="7"/>
  <c r="K34" i="7"/>
  <c r="N29" i="7"/>
  <c r="P12" i="7"/>
  <c r="J43" i="7"/>
  <c r="K36" i="7"/>
  <c r="N71" i="7"/>
  <c r="K9" i="7"/>
  <c r="P45" i="7"/>
  <c r="C93" i="7"/>
  <c r="N46" i="7"/>
  <c r="D12" i="7"/>
  <c r="C35" i="7"/>
  <c r="K107" i="7"/>
  <c r="P82" i="7"/>
  <c r="D20" i="7"/>
  <c r="K19" i="7"/>
  <c r="N52" i="7"/>
  <c r="D94" i="7"/>
  <c r="J69" i="7"/>
  <c r="N51" i="7"/>
  <c r="K99" i="7"/>
  <c r="C19" i="7"/>
  <c r="K84" i="7"/>
  <c r="N20" i="7"/>
  <c r="C44" i="7"/>
  <c r="J73" i="7"/>
  <c r="P69" i="7"/>
  <c r="N98" i="7"/>
  <c r="C30" i="7"/>
  <c r="J83" i="7"/>
  <c r="K58" i="7"/>
  <c r="Q19" i="7" l="1"/>
  <c r="R19" i="7" s="1"/>
  <c r="L19" i="7"/>
  <c r="Q99" i="7"/>
  <c r="R99" i="7" s="1"/>
  <c r="L99" i="7"/>
  <c r="Q47" i="7"/>
  <c r="R47" i="7" s="1"/>
  <c r="L47" i="7"/>
  <c r="E36" i="7"/>
  <c r="Q21" i="7"/>
  <c r="R21" i="7" s="1"/>
  <c r="L21" i="7"/>
  <c r="E31" i="7"/>
  <c r="J89" i="7"/>
  <c r="Q89" i="7" s="1"/>
  <c r="L42" i="7"/>
  <c r="Q42" i="7"/>
  <c r="R42" i="7" s="1"/>
  <c r="L96" i="7"/>
  <c r="Q96" i="7"/>
  <c r="R96" i="7" s="1"/>
  <c r="Q77" i="7"/>
  <c r="R77" i="7" s="1"/>
  <c r="L77" i="7"/>
  <c r="Q62" i="7"/>
  <c r="R62" i="7" s="1"/>
  <c r="L62" i="7"/>
  <c r="Q12" i="7"/>
  <c r="R12" i="7" s="1"/>
  <c r="L12" i="7"/>
  <c r="L72" i="7"/>
  <c r="Q72" i="7"/>
  <c r="R72" i="7" s="1"/>
  <c r="Q10" i="7"/>
  <c r="R10" i="7" s="1"/>
  <c r="L10" i="7"/>
  <c r="Q57" i="7"/>
  <c r="R57" i="7" s="1"/>
  <c r="L57" i="7"/>
  <c r="Q82" i="7"/>
  <c r="R82" i="7" s="1"/>
  <c r="L82" i="7"/>
  <c r="Q52" i="7"/>
  <c r="R52" i="7" s="1"/>
  <c r="L52" i="7"/>
  <c r="Q67" i="7"/>
  <c r="R67" i="7" s="1"/>
  <c r="L67" i="7"/>
  <c r="K89" i="7"/>
  <c r="Q106" i="7"/>
  <c r="R106" i="7" s="1"/>
  <c r="L106" i="7"/>
  <c r="Q22" i="7"/>
  <c r="R22" i="7" s="1"/>
  <c r="L22" i="7"/>
  <c r="Q13" i="7"/>
  <c r="R13" i="7" s="1"/>
  <c r="L13" i="7"/>
  <c r="Q27" i="7"/>
  <c r="R27" i="7" s="1"/>
  <c r="L27" i="7"/>
  <c r="E53" i="7"/>
  <c r="E68" i="7"/>
  <c r="D38" i="7"/>
  <c r="E43" i="7"/>
  <c r="E58" i="7"/>
  <c r="E73" i="7"/>
  <c r="E86" i="7"/>
  <c r="E61" i="7"/>
  <c r="P38" i="7"/>
  <c r="E93" i="7"/>
  <c r="E102" i="7" s="1"/>
  <c r="C102" i="7"/>
  <c r="E44" i="7"/>
  <c r="E49" i="7"/>
  <c r="E54" i="7"/>
  <c r="E59" i="7"/>
  <c r="E64" i="7"/>
  <c r="E69" i="7"/>
  <c r="E74" i="7"/>
  <c r="E79" i="7"/>
  <c r="D102" i="7"/>
  <c r="L32" i="7"/>
  <c r="Q32" i="7"/>
  <c r="R32" i="7" s="1"/>
  <c r="Q25" i="7"/>
  <c r="R25" i="7" s="1"/>
  <c r="L25" i="7"/>
  <c r="E98" i="7"/>
  <c r="E56" i="7"/>
  <c r="E76" i="7"/>
  <c r="E28" i="7"/>
  <c r="E96" i="7"/>
  <c r="L97" i="7"/>
  <c r="Q97" i="7"/>
  <c r="R97" i="7" s="1"/>
  <c r="Q31" i="7"/>
  <c r="R31" i="7" s="1"/>
  <c r="L31" i="7"/>
  <c r="Q34" i="7"/>
  <c r="R34" i="7" s="1"/>
  <c r="L34" i="7"/>
  <c r="E46" i="7"/>
  <c r="E71" i="7"/>
  <c r="E19" i="7"/>
  <c r="P89" i="7"/>
  <c r="Q20" i="7"/>
  <c r="R20" i="7" s="1"/>
  <c r="L20" i="7"/>
  <c r="E63" i="7"/>
  <c r="E78" i="7"/>
  <c r="E81" i="7"/>
  <c r="E84" i="7"/>
  <c r="E14" i="7"/>
  <c r="E33" i="7"/>
  <c r="E10" i="7"/>
  <c r="Q46" i="7"/>
  <c r="R46" i="7" s="1"/>
  <c r="L46" i="7"/>
  <c r="L51" i="7"/>
  <c r="Q51" i="7"/>
  <c r="R51" i="7" s="1"/>
  <c r="L56" i="7"/>
  <c r="Q56" i="7"/>
  <c r="R56" i="7" s="1"/>
  <c r="Q61" i="7"/>
  <c r="R61" i="7" s="1"/>
  <c r="L61" i="7"/>
  <c r="L66" i="7"/>
  <c r="Q66" i="7"/>
  <c r="R66" i="7" s="1"/>
  <c r="Q71" i="7"/>
  <c r="R71" i="7" s="1"/>
  <c r="L71" i="7"/>
  <c r="L76" i="7"/>
  <c r="Q76" i="7"/>
  <c r="R76" i="7" s="1"/>
  <c r="Q84" i="7"/>
  <c r="R84" i="7" s="1"/>
  <c r="L84" i="7"/>
  <c r="L87" i="7"/>
  <c r="Q87" i="7"/>
  <c r="R87" i="7" s="1"/>
  <c r="E29" i="7"/>
  <c r="L26" i="7"/>
  <c r="Q26" i="7"/>
  <c r="R26" i="7" s="1"/>
  <c r="Q36" i="7"/>
  <c r="R36" i="7" s="1"/>
  <c r="L36" i="7"/>
  <c r="E83" i="7"/>
  <c r="E48" i="7"/>
  <c r="C38" i="7"/>
  <c r="E18" i="7"/>
  <c r="D16" i="7"/>
  <c r="D40" i="7" s="1"/>
  <c r="D91" i="7" s="1"/>
  <c r="D104" i="7" s="1"/>
  <c r="D109" i="7" s="1"/>
  <c r="E23" i="7"/>
  <c r="E51" i="7"/>
  <c r="E66" i="7"/>
  <c r="E21" i="7"/>
  <c r="E12" i="7"/>
  <c r="E26" i="7"/>
  <c r="E94" i="7"/>
  <c r="E34" i="7"/>
  <c r="Q94" i="7"/>
  <c r="R94" i="7" s="1"/>
  <c r="L94" i="7"/>
  <c r="Q24" i="7"/>
  <c r="R24" i="7" s="1"/>
  <c r="L24" i="7"/>
  <c r="N89" i="7"/>
  <c r="Q29" i="7"/>
  <c r="R29" i="7" s="1"/>
  <c r="L29" i="7"/>
  <c r="C16" i="7"/>
  <c r="E9" i="7"/>
  <c r="E24" i="7"/>
  <c r="Q44" i="7"/>
  <c r="R44" i="7" s="1"/>
  <c r="L44" i="7"/>
  <c r="Q49" i="7"/>
  <c r="R49" i="7" s="1"/>
  <c r="L49" i="7"/>
  <c r="Q54" i="7"/>
  <c r="R54" i="7" s="1"/>
  <c r="L54" i="7"/>
  <c r="Q59" i="7"/>
  <c r="R59" i="7" s="1"/>
  <c r="L59" i="7"/>
  <c r="Q64" i="7"/>
  <c r="R64" i="7" s="1"/>
  <c r="L64" i="7"/>
  <c r="Q69" i="7"/>
  <c r="R69" i="7" s="1"/>
  <c r="L69" i="7"/>
  <c r="Q74" i="7"/>
  <c r="R74" i="7" s="1"/>
  <c r="L74" i="7"/>
  <c r="Q79" i="7"/>
  <c r="R79" i="7" s="1"/>
  <c r="L79" i="7"/>
  <c r="E106" i="7"/>
  <c r="K16" i="7"/>
  <c r="E20" i="7"/>
  <c r="E25" i="7"/>
  <c r="E30" i="7"/>
  <c r="E35" i="7"/>
  <c r="E70" i="7"/>
  <c r="E75" i="7"/>
  <c r="K102" i="7"/>
  <c r="E107" i="7"/>
  <c r="L18" i="7"/>
  <c r="Q18" i="7"/>
  <c r="R18" i="7" s="1"/>
  <c r="J38" i="7"/>
  <c r="L23" i="7"/>
  <c r="Q23" i="7"/>
  <c r="R23" i="7" s="1"/>
  <c r="L28" i="7"/>
  <c r="Q28" i="7"/>
  <c r="R28" i="7" s="1"/>
  <c r="L33" i="7"/>
  <c r="Q33" i="7"/>
  <c r="R33" i="7" s="1"/>
  <c r="L43" i="7"/>
  <c r="Q43" i="7"/>
  <c r="R43" i="7" s="1"/>
  <c r="L48" i="7"/>
  <c r="Q48" i="7"/>
  <c r="R48" i="7" s="1"/>
  <c r="L53" i="7"/>
  <c r="Q53" i="7"/>
  <c r="R53" i="7" s="1"/>
  <c r="L58" i="7"/>
  <c r="Q58" i="7"/>
  <c r="R58" i="7" s="1"/>
  <c r="L63" i="7"/>
  <c r="Q63" i="7"/>
  <c r="R63" i="7" s="1"/>
  <c r="L68" i="7"/>
  <c r="Q68" i="7"/>
  <c r="R68" i="7" s="1"/>
  <c r="L73" i="7"/>
  <c r="Q73" i="7"/>
  <c r="R73" i="7" s="1"/>
  <c r="L78" i="7"/>
  <c r="Q78" i="7"/>
  <c r="R78" i="7" s="1"/>
  <c r="L83" i="7"/>
  <c r="Q83" i="7"/>
  <c r="R83" i="7" s="1"/>
  <c r="E11" i="7"/>
  <c r="E45" i="7"/>
  <c r="E50" i="7"/>
  <c r="E55" i="7"/>
  <c r="E60" i="7"/>
  <c r="E65" i="7"/>
  <c r="E80" i="7"/>
  <c r="E85" i="7"/>
  <c r="N16" i="7"/>
  <c r="N40" i="7" s="1"/>
  <c r="N91" i="7" s="1"/>
  <c r="N104" i="7" s="1"/>
  <c r="N109" i="7" s="1"/>
  <c r="E13" i="7"/>
  <c r="K38" i="7"/>
  <c r="N102" i="7"/>
  <c r="E97" i="7"/>
  <c r="Q81" i="7"/>
  <c r="R81" i="7" s="1"/>
  <c r="L81" i="7"/>
  <c r="Q86" i="7"/>
  <c r="R86" i="7" s="1"/>
  <c r="L86" i="7"/>
  <c r="E95" i="7"/>
  <c r="E100" i="7"/>
  <c r="Q9" i="7"/>
  <c r="R9" i="7" s="1"/>
  <c r="L9" i="7"/>
  <c r="J16" i="7"/>
  <c r="Q14" i="7"/>
  <c r="R14" i="7" s="1"/>
  <c r="L14" i="7"/>
  <c r="Q93" i="7"/>
  <c r="R93" i="7" s="1"/>
  <c r="L93" i="7"/>
  <c r="J102" i="7"/>
  <c r="Q102" i="7" s="1"/>
  <c r="Q98" i="7"/>
  <c r="R98" i="7" s="1"/>
  <c r="L98" i="7"/>
  <c r="P16" i="7"/>
  <c r="P40" i="7" s="1"/>
  <c r="P91" i="7" s="1"/>
  <c r="P104" i="7" s="1"/>
  <c r="P109" i="7" s="1"/>
  <c r="Q11" i="7"/>
  <c r="R11" i="7" s="1"/>
  <c r="L11" i="7"/>
  <c r="P102" i="7"/>
  <c r="L95" i="7"/>
  <c r="Q95" i="7"/>
  <c r="R95" i="7" s="1"/>
  <c r="L100" i="7"/>
  <c r="Q100" i="7"/>
  <c r="R100" i="7" s="1"/>
  <c r="N38" i="7"/>
  <c r="E22" i="7"/>
  <c r="E27" i="7"/>
  <c r="E32" i="7"/>
  <c r="E42" i="7"/>
  <c r="C89" i="7"/>
  <c r="E47" i="7"/>
  <c r="E52" i="7"/>
  <c r="E57" i="7"/>
  <c r="E62" i="7"/>
  <c r="E67" i="7"/>
  <c r="E72" i="7"/>
  <c r="E77" i="7"/>
  <c r="E82" i="7"/>
  <c r="E87" i="7"/>
  <c r="Q30" i="7"/>
  <c r="R30" i="7" s="1"/>
  <c r="L30" i="7"/>
  <c r="Q35" i="7"/>
  <c r="R35" i="7" s="1"/>
  <c r="L35" i="7"/>
  <c r="D89" i="7"/>
  <c r="L45" i="7"/>
  <c r="Q45" i="7"/>
  <c r="R45" i="7" s="1"/>
  <c r="L50" i="7"/>
  <c r="Q50" i="7"/>
  <c r="R50" i="7" s="1"/>
  <c r="L55" i="7"/>
  <c r="Q55" i="7"/>
  <c r="R55" i="7" s="1"/>
  <c r="L60" i="7"/>
  <c r="Q60" i="7"/>
  <c r="R60" i="7" s="1"/>
  <c r="L65" i="7"/>
  <c r="Q65" i="7"/>
  <c r="R65" i="7" s="1"/>
  <c r="Q70" i="7"/>
  <c r="R70" i="7" s="1"/>
  <c r="L70" i="7"/>
  <c r="L75" i="7"/>
  <c r="Q75" i="7"/>
  <c r="R75" i="7" s="1"/>
  <c r="Q80" i="7"/>
  <c r="R80" i="7" s="1"/>
  <c r="L80" i="7"/>
  <c r="Q85" i="7"/>
  <c r="R85" i="7" s="1"/>
  <c r="L85" i="7"/>
  <c r="Q107" i="7"/>
  <c r="R107" i="7" s="1"/>
  <c r="L107" i="7"/>
  <c r="E99" i="7"/>
  <c r="E16" i="7" l="1"/>
  <c r="L16" i="7"/>
  <c r="L89" i="7"/>
  <c r="L102" i="7"/>
  <c r="E38" i="7"/>
  <c r="E89" i="7"/>
  <c r="L38" i="7"/>
  <c r="K40" i="7"/>
  <c r="K91" i="7" s="1"/>
  <c r="K104" i="7" s="1"/>
  <c r="K109" i="7" s="1"/>
  <c r="Q38" i="7"/>
  <c r="R38" i="7" s="1"/>
  <c r="J40" i="7"/>
  <c r="Q16" i="7"/>
  <c r="R16" i="7" s="1"/>
  <c r="C40" i="7"/>
  <c r="C91" i="7" s="1"/>
  <c r="C104" i="7" s="1"/>
  <c r="C109" i="7" s="1"/>
  <c r="L40" i="7" l="1"/>
  <c r="L91" i="7" s="1"/>
  <c r="L104" i="7" s="1"/>
  <c r="L109" i="7" s="1"/>
  <c r="E40" i="7"/>
  <c r="E91" i="7" s="1"/>
  <c r="E104" i="7" s="1"/>
  <c r="E109" i="7" s="1"/>
  <c r="Q40" i="7"/>
  <c r="R40" i="7" s="1"/>
  <c r="J91" i="7"/>
  <c r="J104" i="7" l="1"/>
  <c r="Q91" i="7"/>
  <c r="J109" i="7" l="1"/>
  <c r="Q109" i="7" s="1"/>
  <c r="Q104" i="7"/>
</calcChain>
</file>

<file path=xl/sharedStrings.xml><?xml version="1.0" encoding="utf-8"?>
<sst xmlns="http://schemas.openxmlformats.org/spreadsheetml/2006/main" count="33" uniqueCount="22">
  <si>
    <t>Total Direct Costs</t>
  </si>
  <si>
    <t>Total Sales</t>
  </si>
  <si>
    <t>Gross Margin</t>
  </si>
  <si>
    <t>Total Expenses</t>
  </si>
  <si>
    <t>Net Profit</t>
  </si>
  <si>
    <t>Finance Costs</t>
  </si>
  <si>
    <t>Profit Before Tax</t>
  </si>
  <si>
    <t>Retained Earnings</t>
  </si>
  <si>
    <t>Actual</t>
  </si>
  <si>
    <t>Budget</t>
  </si>
  <si>
    <t>Variance</t>
  </si>
  <si>
    <t>Current Period</t>
  </si>
  <si>
    <t>Year To Date</t>
  </si>
  <si>
    <t>Full Year</t>
  </si>
  <si>
    <t>Last Year To Date</t>
  </si>
  <si>
    <t>%</t>
  </si>
  <si>
    <t/>
  </si>
  <si>
    <t>NetSuite Demo Company Management Accounts</t>
  </si>
  <si>
    <t>HH Inc. (Consolidated)</t>
  </si>
  <si>
    <t>A/C</t>
  </si>
  <si>
    <t>Description</t>
  </si>
  <si>
    <t>Apr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</si>
</sst>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_);\(#,##0\);"/>
    <numFmt numFmtId="166" formatCode="#,##0_);\(#,##0\);\-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428BCA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right" vertical="center" indent="1"/>
    </xf>
    <xf numFmtId="0" fontId="1" fillId="0" borderId="0" xfId="0" applyFont="1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165" fontId="0" fillId="0" borderId="0" xfId="0" applyNumberFormat="1" applyBorder="1" applyAlignment="1">
      <alignment horizontal="right" vertical="center" indent="1"/>
    </xf>
    <xf numFmtId="165" fontId="1" fillId="0" borderId="0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8" fillId="0" borderId="0" xfId="0" applyFont="1" applyBorder="1" applyAlignment="1">
      <alignment horizontal="right" vertical="center" indent="1"/>
    </xf>
    <xf numFmtId="166" fontId="0" fillId="0" borderId="0" xfId="0" applyNumberFormat="1" applyAlignment="1">
      <alignment vertical="center"/>
    </xf>
    <xf numFmtId="166" fontId="0" fillId="0" borderId="0" xfId="0" applyNumberFormat="1" applyAlignment="1">
      <alignment horizontal="left" vertical="center"/>
    </xf>
    <xf numFmtId="166" fontId="0" fillId="0" borderId="0" xfId="0" applyNumberFormat="1" applyFont="1" applyBorder="1" applyAlignment="1">
      <alignment horizontal="left" vertical="center"/>
    </xf>
    <xf numFmtId="166" fontId="0" fillId="0" borderId="0" xfId="0" applyNumberFormat="1" applyBorder="1" applyAlignment="1">
      <alignment horizontal="left" vertical="center"/>
    </xf>
    <xf numFmtId="166" fontId="3" fillId="0" borderId="0" xfId="1" applyNumberFormat="1" applyFont="1" applyAlignment="1">
      <alignment horizontal="right" vertical="center"/>
    </xf>
    <xf numFmtId="166" fontId="0" fillId="0" borderId="0" xfId="0" applyNumberFormat="1" applyBorder="1" applyAlignment="1"/>
    <xf numFmtId="166" fontId="0" fillId="0" borderId="0" xfId="0" applyNumberFormat="1" applyBorder="1" applyAlignment="1">
      <alignment horizontal="centerContinuous"/>
    </xf>
    <xf numFmtId="166" fontId="3" fillId="0" borderId="0" xfId="1" applyNumberFormat="1" applyFont="1" applyBorder="1" applyAlignment="1">
      <alignment horizontal="right"/>
    </xf>
    <xf numFmtId="166" fontId="0" fillId="0" borderId="0" xfId="0" applyNumberFormat="1" applyBorder="1" applyAlignment="1">
      <alignment vertical="top"/>
    </xf>
    <xf numFmtId="166" fontId="2" fillId="0" borderId="0" xfId="0" applyNumberFormat="1" applyFont="1" applyBorder="1" applyAlignment="1">
      <alignment horizontal="center" vertical="top"/>
    </xf>
    <xf numFmtId="166" fontId="0" fillId="0" borderId="0" xfId="0" applyNumberFormat="1" applyBorder="1" applyAlignment="1">
      <alignment horizontal="left" vertical="top"/>
    </xf>
    <xf numFmtId="166" fontId="3" fillId="0" borderId="0" xfId="1" applyNumberFormat="1" applyFont="1" applyBorder="1" applyAlignment="1">
      <alignment horizontal="right" vertical="top"/>
    </xf>
    <xf numFmtId="166" fontId="0" fillId="0" borderId="0" xfId="0" applyNumberFormat="1" applyBorder="1" applyAlignment="1">
      <alignment horizontal="right" vertical="center" indent="1"/>
    </xf>
    <xf numFmtId="166" fontId="0" fillId="0" borderId="0" xfId="0" applyNumberFormat="1" applyBorder="1" applyAlignment="1">
      <alignment horizontal="left" vertical="center" indent="1"/>
    </xf>
    <xf numFmtId="166" fontId="0" fillId="0" borderId="0" xfId="0" applyNumberFormat="1" applyAlignment="1">
      <alignment horizontal="right" vertical="center" indent="1"/>
    </xf>
    <xf numFmtId="166" fontId="8" fillId="0" borderId="0" xfId="0" applyNumberFormat="1" applyFont="1" applyAlignment="1">
      <alignment horizontal="right" vertical="center" indent="1"/>
    </xf>
    <xf numFmtId="166" fontId="0" fillId="0" borderId="7" xfId="0" applyNumberFormat="1" applyBorder="1" applyAlignment="1">
      <alignment horizontal="right" vertical="center" indent="1"/>
    </xf>
    <xf numFmtId="166" fontId="0" fillId="0" borderId="3" xfId="0" applyNumberFormat="1" applyBorder="1" applyAlignment="1">
      <alignment horizontal="right" vertical="center" indent="1"/>
    </xf>
    <xf numFmtId="166" fontId="0" fillId="0" borderId="8" xfId="0" applyNumberFormat="1" applyBorder="1" applyAlignment="1">
      <alignment horizontal="right" vertical="center" indent="1"/>
    </xf>
    <xf numFmtId="166" fontId="0" fillId="0" borderId="13" xfId="0" applyNumberFormat="1" applyBorder="1" applyAlignment="1">
      <alignment horizontal="right" vertical="center" indent="1"/>
    </xf>
    <xf numFmtId="166" fontId="0" fillId="0" borderId="14" xfId="0" applyNumberFormat="1" applyBorder="1" applyAlignment="1">
      <alignment horizontal="right" vertical="center" indent="1"/>
    </xf>
    <xf numFmtId="166" fontId="0" fillId="0" borderId="9" xfId="0" applyNumberFormat="1" applyBorder="1" applyAlignment="1">
      <alignment horizontal="right" vertical="center" indent="1"/>
    </xf>
    <xf numFmtId="166" fontId="0" fillId="0" borderId="11" xfId="0" applyNumberFormat="1" applyBorder="1" applyAlignment="1">
      <alignment horizontal="right" vertical="center" indent="1"/>
    </xf>
    <xf numFmtId="166" fontId="0" fillId="0" borderId="10" xfId="0" applyNumberFormat="1" applyBorder="1" applyAlignment="1">
      <alignment horizontal="right" vertical="center" indent="1"/>
    </xf>
    <xf numFmtId="166" fontId="0" fillId="0" borderId="7" xfId="0" applyNumberFormat="1" applyFont="1" applyBorder="1" applyAlignment="1">
      <alignment horizontal="left" vertical="center" indent="1"/>
    </xf>
    <xf numFmtId="166" fontId="0" fillId="0" borderId="8" xfId="0" applyNumberFormat="1" applyFont="1" applyBorder="1" applyAlignment="1">
      <alignment horizontal="left" vertical="center" indent="1"/>
    </xf>
    <xf numFmtId="166" fontId="0" fillId="0" borderId="13" xfId="0" applyNumberFormat="1" applyFont="1" applyBorder="1" applyAlignment="1">
      <alignment horizontal="left" vertical="center" indent="1"/>
    </xf>
    <xf numFmtId="166" fontId="0" fillId="0" borderId="14" xfId="0" applyNumberFormat="1" applyFont="1" applyBorder="1" applyAlignment="1">
      <alignment horizontal="left" vertical="center" indent="1"/>
    </xf>
    <xf numFmtId="166" fontId="0" fillId="0" borderId="9" xfId="0" applyNumberFormat="1" applyFont="1" applyBorder="1" applyAlignment="1">
      <alignment horizontal="left" vertical="center" indent="1"/>
    </xf>
    <xf numFmtId="166" fontId="0" fillId="0" borderId="10" xfId="0" applyNumberFormat="1" applyFont="1" applyBorder="1" applyAlignment="1">
      <alignment horizontal="left" vertical="center" indent="1"/>
    </xf>
    <xf numFmtId="166" fontId="0" fillId="0" borderId="6" xfId="0" applyNumberFormat="1" applyBorder="1" applyAlignment="1">
      <alignment horizontal="right" vertical="center" indent="1"/>
    </xf>
    <xf numFmtId="166" fontId="0" fillId="0" borderId="15" xfId="0" applyNumberFormat="1" applyBorder="1" applyAlignment="1">
      <alignment horizontal="right" vertical="center" indent="1"/>
    </xf>
    <xf numFmtId="166" fontId="0" fillId="0" borderId="12" xfId="0" applyNumberFormat="1" applyBorder="1" applyAlignment="1">
      <alignment horizontal="right" vertical="center" indent="1"/>
    </xf>
    <xf numFmtId="166" fontId="3" fillId="0" borderId="8" xfId="1" applyNumberFormat="1" applyFont="1" applyBorder="1" applyAlignment="1">
      <alignment horizontal="right" vertical="center" indent="1"/>
    </xf>
    <xf numFmtId="166" fontId="3" fillId="0" borderId="14" xfId="1" applyNumberFormat="1" applyFont="1" applyBorder="1" applyAlignment="1">
      <alignment horizontal="right" vertical="center" indent="1"/>
    </xf>
    <xf numFmtId="166" fontId="3" fillId="0" borderId="10" xfId="1" applyNumberFormat="1" applyFont="1" applyBorder="1" applyAlignment="1">
      <alignment horizontal="right" vertical="center" indent="1"/>
    </xf>
    <xf numFmtId="166" fontId="0" fillId="0" borderId="13" xfId="0" applyNumberFormat="1" applyBorder="1" applyAlignment="1">
      <alignment horizontal="left" vertical="center" indent="1"/>
    </xf>
    <xf numFmtId="166" fontId="0" fillId="0" borderId="14" xfId="0" applyNumberFormat="1" applyBorder="1" applyAlignment="1">
      <alignment horizontal="left" vertical="center" indent="1"/>
    </xf>
    <xf numFmtId="166" fontId="0" fillId="0" borderId="9" xfId="0" applyNumberFormat="1" applyBorder="1" applyAlignment="1">
      <alignment horizontal="left" vertical="center" indent="1"/>
    </xf>
    <xf numFmtId="166" fontId="0" fillId="0" borderId="10" xfId="0" applyNumberFormat="1" applyBorder="1" applyAlignment="1">
      <alignment horizontal="left" vertical="center" indent="1"/>
    </xf>
    <xf numFmtId="166" fontId="0" fillId="0" borderId="7" xfId="0" applyNumberFormat="1" applyBorder="1" applyAlignment="1">
      <alignment horizontal="left" vertical="center" indent="1"/>
    </xf>
    <xf numFmtId="166" fontId="0" fillId="0" borderId="8" xfId="0" applyNumberFormat="1" applyBorder="1" applyAlignment="1">
      <alignment horizontal="left" vertical="center" indent="1"/>
    </xf>
    <xf numFmtId="0" fontId="1" fillId="0" borderId="0" xfId="0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66" fontId="0" fillId="0" borderId="1" xfId="0" applyNumberFormat="1" applyBorder="1" applyAlignment="1">
      <alignment horizontal="right" vertical="center" indent="1"/>
    </xf>
    <xf numFmtId="166" fontId="0" fillId="0" borderId="1" xfId="0" applyNumberFormat="1" applyBorder="1" applyAlignment="1">
      <alignment horizontal="left" vertical="center" indent="1"/>
    </xf>
    <xf numFmtId="0" fontId="9" fillId="0" borderId="0" xfId="0" applyFont="1"/>
    <xf numFmtId="166" fontId="5" fillId="2" borderId="9" xfId="0" applyNumberFormat="1" applyFont="1" applyFill="1" applyBorder="1" applyAlignment="1">
      <alignment horizontal="right" vertical="top" indent="2"/>
    </xf>
    <xf numFmtId="166" fontId="5" fillId="2" borderId="11" xfId="0" applyNumberFormat="1" applyFont="1" applyFill="1" applyBorder="1" applyAlignment="1">
      <alignment horizontal="right" vertical="top" indent="2"/>
    </xf>
    <xf numFmtId="166" fontId="5" fillId="2" borderId="10" xfId="0" applyNumberFormat="1" applyFont="1" applyFill="1" applyBorder="1" applyAlignment="1">
      <alignment horizontal="right" vertical="top" indent="2"/>
    </xf>
    <xf numFmtId="166" fontId="5" fillId="2" borderId="7" xfId="0" applyNumberFormat="1" applyFont="1" applyFill="1" applyBorder="1" applyAlignment="1">
      <alignment horizontal="center"/>
    </xf>
    <xf numFmtId="166" fontId="5" fillId="2" borderId="8" xfId="0" applyNumberFormat="1" applyFont="1" applyFill="1" applyBorder="1" applyAlignment="1"/>
    <xf numFmtId="166" fontId="5" fillId="2" borderId="9" xfId="0" applyNumberFormat="1" applyFont="1" applyFill="1" applyBorder="1" applyAlignment="1">
      <alignment horizontal="right" vertical="top" indent="1"/>
    </xf>
    <xf numFmtId="166" fontId="5" fillId="2" borderId="10" xfId="0" applyNumberFormat="1" applyFont="1" applyFill="1" applyBorder="1" applyAlignment="1">
      <alignment horizontal="left" vertical="top" indent="1"/>
    </xf>
    <xf numFmtId="166" fontId="5" fillId="2" borderId="6" xfId="0" applyNumberFormat="1" applyFont="1" applyFill="1" applyBorder="1" applyAlignment="1">
      <alignment horizontal="center"/>
    </xf>
    <xf numFmtId="166" fontId="5" fillId="2" borderId="12" xfId="0" applyNumberFormat="1" applyFont="1" applyFill="1" applyBorder="1" applyAlignment="1">
      <alignment horizontal="center" vertical="top"/>
    </xf>
    <xf numFmtId="166" fontId="5" fillId="2" borderId="4" xfId="0" applyNumberFormat="1" applyFont="1" applyFill="1" applyBorder="1" applyAlignment="1">
      <alignment horizontal="right" vertical="center" indent="1"/>
    </xf>
    <xf numFmtId="166" fontId="5" fillId="2" borderId="1" xfId="0" applyNumberFormat="1" applyFont="1" applyFill="1" applyBorder="1" applyAlignment="1">
      <alignment horizontal="right" vertical="center" indent="1"/>
    </xf>
    <xf numFmtId="166" fontId="6" fillId="2" borderId="5" xfId="1" applyNumberFormat="1" applyFont="1" applyFill="1" applyBorder="1" applyAlignment="1">
      <alignment horizontal="right" vertical="center" indent="1"/>
    </xf>
    <xf numFmtId="166" fontId="5" fillId="2" borderId="2" xfId="0" applyNumberFormat="1" applyFont="1" applyFill="1" applyBorder="1" applyAlignment="1">
      <alignment horizontal="right" vertical="center" indent="1"/>
    </xf>
    <xf numFmtId="166" fontId="5" fillId="2" borderId="5" xfId="0" applyNumberFormat="1" applyFont="1" applyFill="1" applyBorder="1" applyAlignment="1">
      <alignment horizontal="right" vertical="center" indent="1"/>
    </xf>
    <xf numFmtId="166" fontId="5" fillId="2" borderId="4" xfId="0" applyNumberFormat="1" applyFont="1" applyFill="1" applyBorder="1" applyAlignment="1">
      <alignment horizontal="left" vertical="center" indent="1"/>
    </xf>
    <xf numFmtId="166" fontId="5" fillId="2" borderId="5" xfId="0" applyNumberFormat="1" applyFont="1" applyFill="1" applyBorder="1" applyAlignment="1">
      <alignment horizontal="left" vertical="center" indent="1"/>
    </xf>
    <xf numFmtId="166" fontId="5" fillId="2" borderId="7" xfId="0" applyNumberFormat="1" applyFont="1" applyFill="1" applyBorder="1" applyAlignment="1">
      <alignment horizontal="center"/>
    </xf>
    <xf numFmtId="166" fontId="5" fillId="2" borderId="3" xfId="0" applyNumberFormat="1" applyFont="1" applyFill="1" applyBorder="1" applyAlignment="1">
      <alignment horizontal="center"/>
    </xf>
    <xf numFmtId="166" fontId="5" fillId="2" borderId="8" xfId="0" applyNumberFormat="1" applyFont="1" applyFill="1" applyBorder="1" applyAlignment="1">
      <alignment horizontal="center"/>
    </xf>
    <xf numFmtId="166" fontId="2" fillId="0" borderId="0" xfId="0" applyNumberFormat="1" applyFont="1" applyBorder="1" applyAlignment="1">
      <alignment horizontal="center" vertical="top"/>
    </xf>
    <xf numFmtId="166" fontId="2" fillId="0" borderId="0" xfId="0" applyNumberFormat="1" applyFont="1" applyBorder="1" applyAlignment="1">
      <alignment horizontal="center"/>
    </xf>
    <xf numFmtId="49" fontId="4" fillId="0" borderId="0" xfId="0" quotePrefix="1" applyNumberFormat="1" applyFont="1" applyBorder="1" applyAlignment="1">
      <alignment horizontal="left"/>
    </xf>
    <xf numFmtId="166" fontId="4" fillId="0" borderId="0" xfId="0" quotePrefix="1" applyNumberFormat="1" applyFont="1" applyBorder="1" applyAlignment="1">
      <alignment horizontal="left"/>
    </xf>
    <xf numFmtId="166" fontId="4" fillId="0" borderId="0" xfId="0" quotePrefix="1" applyNumberFormat="1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853966</xdr:colOff>
      <xdr:row>3</xdr:row>
      <xdr:rowOff>109483</xdr:rowOff>
    </xdr:from>
    <xdr:to>
      <xdr:col>17</xdr:col>
      <xdr:colOff>628628</xdr:colOff>
      <xdr:row>4</xdr:row>
      <xdr:rowOff>287775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3DBF3A-2CFC-4444-8B68-6BA414971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42414" y="240862"/>
          <a:ext cx="1657766" cy="616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showGridLines="0" tabSelected="1" topLeftCell="B3" zoomScaleNormal="100" workbookViewId="0">
      <selection activeCell="C4" sqref="C4:D4"/>
    </sheetView>
  </sheetViews>
  <sheetFormatPr defaultColWidth="9.140625" defaultRowHeight="15" x14ac:dyDescent="0.25"/>
  <cols>
    <col min="1" max="1" width="9.140625" style="1" hidden="1" customWidth="1"/>
    <col min="2" max="2" width="6.28515625" style="1" customWidth="1"/>
    <col min="3" max="3" width="14.140625" style="11" customWidth="1"/>
    <col min="4" max="4" width="14.140625" style="12" customWidth="1"/>
    <col min="5" max="5" width="14.140625" style="11" customWidth="1"/>
    <col min="6" max="6" width="1.140625" style="11" customWidth="1"/>
    <col min="7" max="7" width="6.85546875" style="12" customWidth="1"/>
    <col min="8" max="8" width="40.7109375" style="14" customWidth="1"/>
    <col min="9" max="9" width="1.140625" style="11" customWidth="1"/>
    <col min="10" max="12" width="14.140625" style="11" customWidth="1"/>
    <col min="13" max="13" width="1.140625" style="11" customWidth="1"/>
    <col min="14" max="14" width="14.140625" style="11" customWidth="1"/>
    <col min="15" max="15" width="1.140625" style="11" customWidth="1"/>
    <col min="16" max="17" width="14.140625" style="11" customWidth="1"/>
    <col min="18" max="18" width="9.85546875" style="15" customWidth="1"/>
    <col min="19" max="19" width="4.42578125" style="1" customWidth="1"/>
    <col min="20" max="16384" width="9.140625" style="1"/>
  </cols>
  <sheetData>
    <row r="1" spans="2:23" x14ac:dyDescent="0.25">
      <c r="E1" s="13" t="str">
        <f>C4</f>
        <v>Apr 2017</v>
      </c>
      <c r="J1" s="13" t="str">
        <f>TEXT(DATE(RIGHT($C$4,4), 1, 1), "mmm yyyy")</f>
        <v>Jan 2017</v>
      </c>
      <c r="N1" s="13" t="str">
        <f>TEXT(DATE(RIGHT($C$4,4), 1, 1), "mmm yyyy")</f>
        <v>Jan 2017</v>
      </c>
      <c r="P1" s="13" t="str">
        <f>TEXT(DATE(RIGHT($C$4,4)-1, 1, 1), "mmm yyyy")</f>
        <v>Jan 2016</v>
      </c>
    </row>
    <row r="2" spans="2:23" x14ac:dyDescent="0.25">
      <c r="E2" s="13" t="str">
        <f>$C$4</f>
        <v>Apr 2017</v>
      </c>
      <c r="J2" s="13" t="str">
        <f>$C$4</f>
        <v>Apr 2017</v>
      </c>
      <c r="N2" s="13" t="str">
        <f>TEXT(DATE(RIGHT($C$4,4),12, 1), "mmm yyyy")</f>
        <v>Dec 2017</v>
      </c>
      <c r="P2" s="13" t="str">
        <f>LEFT($C$4, 4) &amp; (RIGHT($C$4, 4) - 1)</f>
        <v>Apr 2016</v>
      </c>
    </row>
    <row r="3" spans="2:23" ht="10.5" customHeight="1" x14ac:dyDescent="0.25"/>
    <row r="4" spans="2:23" ht="34.5" customHeight="1" x14ac:dyDescent="0.4">
      <c r="B4" s="2"/>
      <c r="C4" s="80" t="s">
        <v>21</v>
      </c>
      <c r="D4" s="81"/>
      <c r="E4" s="79" t="s">
        <v>17</v>
      </c>
      <c r="F4" s="79"/>
      <c r="G4" s="79"/>
      <c r="H4" s="79"/>
      <c r="I4" s="79"/>
      <c r="J4" s="79"/>
      <c r="K4" s="79"/>
      <c r="L4" s="79"/>
      <c r="M4" s="79"/>
      <c r="N4" s="79"/>
      <c r="O4" s="16"/>
      <c r="P4" s="17"/>
      <c r="Q4" s="16"/>
      <c r="R4" s="18"/>
      <c r="S4" s="2"/>
    </row>
    <row r="5" spans="2:23" ht="40.9" customHeight="1" x14ac:dyDescent="0.2">
      <c r="B5" s="2"/>
      <c r="C5" s="82" t="s">
        <v>9</v>
      </c>
      <c r="D5" s="82"/>
      <c r="E5" s="78" t="s">
        <v>18</v>
      </c>
      <c r="F5" s="78"/>
      <c r="G5" s="78"/>
      <c r="H5" s="78"/>
      <c r="I5" s="78"/>
      <c r="J5" s="78"/>
      <c r="K5" s="78"/>
      <c r="L5" s="78"/>
      <c r="M5" s="78"/>
      <c r="N5" s="78"/>
      <c r="O5" s="19"/>
      <c r="P5" s="20"/>
      <c r="Q5" s="21"/>
      <c r="R5" s="22"/>
      <c r="S5" s="2"/>
      <c r="W5" s="58"/>
    </row>
    <row r="6" spans="2:23" s="55" customFormat="1" ht="16.5" customHeight="1" x14ac:dyDescent="0.25">
      <c r="B6" s="53"/>
      <c r="C6" s="75" t="s">
        <v>11</v>
      </c>
      <c r="D6" s="76"/>
      <c r="E6" s="77"/>
      <c r="F6" s="54"/>
      <c r="G6" s="62"/>
      <c r="H6" s="63"/>
      <c r="I6" s="54"/>
      <c r="J6" s="75" t="s">
        <v>12</v>
      </c>
      <c r="K6" s="76"/>
      <c r="L6" s="77"/>
      <c r="M6" s="54"/>
      <c r="N6" s="66" t="s">
        <v>13</v>
      </c>
      <c r="O6" s="54"/>
      <c r="P6" s="75" t="s">
        <v>14</v>
      </c>
      <c r="Q6" s="76"/>
      <c r="R6" s="77"/>
      <c r="S6" s="53"/>
    </row>
    <row r="7" spans="2:23" s="4" customFormat="1" ht="18" customHeight="1" x14ac:dyDescent="0.25">
      <c r="C7" s="59" t="s">
        <v>8</v>
      </c>
      <c r="D7" s="60" t="s">
        <v>9</v>
      </c>
      <c r="E7" s="61" t="s">
        <v>10</v>
      </c>
      <c r="F7" s="23"/>
      <c r="G7" s="64" t="s">
        <v>19</v>
      </c>
      <c r="H7" s="65" t="s">
        <v>20</v>
      </c>
      <c r="I7" s="23"/>
      <c r="J7" s="59" t="s">
        <v>8</v>
      </c>
      <c r="K7" s="60" t="s">
        <v>9</v>
      </c>
      <c r="L7" s="61" t="s">
        <v>10</v>
      </c>
      <c r="M7" s="23"/>
      <c r="N7" s="67" t="s">
        <v>9</v>
      </c>
      <c r="O7" s="23"/>
      <c r="P7" s="59" t="s">
        <v>8</v>
      </c>
      <c r="Q7" s="60" t="s">
        <v>10</v>
      </c>
      <c r="R7" s="61" t="s">
        <v>15</v>
      </c>
    </row>
    <row r="8" spans="2:23" s="6" customFormat="1" ht="7.5" customHeight="1" x14ac:dyDescent="0.25">
      <c r="B8" s="5"/>
      <c r="C8" s="23"/>
      <c r="D8" s="23"/>
      <c r="E8" s="23"/>
      <c r="F8" s="23"/>
      <c r="G8" s="24"/>
      <c r="H8" s="24"/>
      <c r="I8" s="23"/>
      <c r="J8" s="23"/>
      <c r="K8" s="23"/>
      <c r="L8" s="23"/>
      <c r="M8" s="23"/>
      <c r="N8" s="23"/>
      <c r="O8" s="23"/>
      <c r="P8" s="23"/>
      <c r="Q8" s="23"/>
      <c r="R8" s="23"/>
      <c r="S8" s="5"/>
    </row>
    <row r="9" spans="2:23" s="6" customFormat="1" ht="21" customHeight="1" x14ac:dyDescent="0.25">
      <c r="B9" s="7"/>
      <c r="C9" s="27">
        <f>-_xll.NSGLABAL($E$5,$G9,E$1,E$2)</f>
        <v>8262295.2599999998</v>
      </c>
      <c r="D9" s="28">
        <f>-_xll.NSGLABUD($E$5,$C$5,$G9,E$1,E$2)</f>
        <v>829397.9</v>
      </c>
      <c r="E9" s="29">
        <f t="shared" ref="E9:E14" si="0">C9-D9</f>
        <v>7432897.3599999994</v>
      </c>
      <c r="F9" s="23"/>
      <c r="G9" s="35" t="str">
        <f>IF(TRUE,"4000","LI(0,0)")</f>
        <v>4000</v>
      </c>
      <c r="H9" s="36" t="str">
        <f>IF(TRUE,"Sales","LI(0,1)")</f>
        <v>Sales</v>
      </c>
      <c r="I9" s="23"/>
      <c r="J9" s="27">
        <f>-_xll.NSGLABAL($E$5,$G9,J$1,J$2)</f>
        <v>23083383.640000001</v>
      </c>
      <c r="K9" s="28">
        <f>-_xll.NSGLABUD($E$5,$C$5,$G9,J$1,J$2)</f>
        <v>3908075.3</v>
      </c>
      <c r="L9" s="29">
        <f t="shared" ref="L9:L14" si="1">J9-K9</f>
        <v>19175308.34</v>
      </c>
      <c r="M9" s="23"/>
      <c r="N9" s="41">
        <f>-_xll.NSGLABUD($E$5,$C$5,$G9,N$1,N$2)</f>
        <v>7193541.4699999997</v>
      </c>
      <c r="O9" s="23"/>
      <c r="P9" s="27">
        <f>-_xll.NSGLABAL($E$5,$G9,P$1,P$2)</f>
        <v>679386.9</v>
      </c>
      <c r="Q9" s="28">
        <f t="shared" ref="Q9:Q14" si="2">J9-P9</f>
        <v>22403996.740000002</v>
      </c>
      <c r="R9" s="44">
        <f t="shared" ref="R9:R14" si="3">IFERROR(Q9/P9*100, 0)</f>
        <v>3297.6786482047273</v>
      </c>
      <c r="S9" s="5"/>
    </row>
    <row r="10" spans="2:23" s="6" customFormat="1" ht="21" customHeight="1" x14ac:dyDescent="0.25">
      <c r="B10" s="7"/>
      <c r="C10" s="30">
        <f>-_xll.NSGLABAL($E$5,$G10,E$1,E$2)</f>
        <v>13672.01</v>
      </c>
      <c r="D10" s="23">
        <f>-_xll.NSGLABUD($E$5,$C$5,$G10,E$1,E$2)</f>
        <v>16200.67</v>
      </c>
      <c r="E10" s="31">
        <f t="shared" si="0"/>
        <v>-2528.66</v>
      </c>
      <c r="F10" s="23"/>
      <c r="G10" s="37" t="str">
        <f>IF(TRUE,"4002","LI(1,0)")</f>
        <v>4002</v>
      </c>
      <c r="H10" s="38" t="str">
        <f>IF(TRUE,"Sales - Merchandise","LI(1,1)")</f>
        <v>Sales - Merchandise</v>
      </c>
      <c r="I10" s="23"/>
      <c r="J10" s="30">
        <f>-_xll.NSGLABAL($E$5,$G10,J$1,J$2)</f>
        <v>4065692.04</v>
      </c>
      <c r="K10" s="23">
        <f>-_xll.NSGLABUD($E$5,$C$5,$G10,J$1,J$2)</f>
        <v>2444325.69</v>
      </c>
      <c r="L10" s="31">
        <f t="shared" si="1"/>
        <v>1621366.35</v>
      </c>
      <c r="M10" s="23"/>
      <c r="N10" s="42">
        <f>-_xll.NSGLABUD($E$5,$C$5,$G10,N$1,N$2)</f>
        <v>8784369.8800000008</v>
      </c>
      <c r="O10" s="23"/>
      <c r="P10" s="30">
        <f>-_xll.NSGLABAL($E$5,$G10,P$1,P$2)</f>
        <v>4657.01</v>
      </c>
      <c r="Q10" s="23">
        <f t="shared" si="2"/>
        <v>4061035.0300000003</v>
      </c>
      <c r="R10" s="45">
        <f t="shared" si="3"/>
        <v>87202.626363267409</v>
      </c>
      <c r="S10" s="5"/>
    </row>
    <row r="11" spans="2:23" s="6" customFormat="1" ht="21" customHeight="1" x14ac:dyDescent="0.25">
      <c r="B11" s="7"/>
      <c r="C11" s="30">
        <f>-_xll.NSGLABAL($E$5,$G11,E$1,E$2)</f>
        <v>282196.93</v>
      </c>
      <c r="D11" s="23">
        <f>-_xll.NSGLABUD($E$5,$C$5,$G11,E$1,E$2)</f>
        <v>34862.720000000001</v>
      </c>
      <c r="E11" s="31">
        <f t="shared" si="0"/>
        <v>247334.21</v>
      </c>
      <c r="F11" s="23"/>
      <c r="G11" s="37" t="str">
        <f>IF(TRUE,"4004","LI(2,0)")</f>
        <v>4004</v>
      </c>
      <c r="H11" s="38" t="str">
        <f>IF(TRUE,"Sales - Service","LI(2,1)")</f>
        <v>Sales - Service</v>
      </c>
      <c r="I11" s="23"/>
      <c r="J11" s="30">
        <f>-_xll.NSGLABAL($E$5,$G11,J$1,J$2)</f>
        <v>1344962.61</v>
      </c>
      <c r="K11" s="23">
        <f>-_xll.NSGLABUD($E$5,$C$5,$G11,J$1,J$2)</f>
        <v>173116.7</v>
      </c>
      <c r="L11" s="31">
        <f t="shared" si="1"/>
        <v>1171845.9100000001</v>
      </c>
      <c r="M11" s="23"/>
      <c r="N11" s="42">
        <f>-_xll.NSGLABUD($E$5,$C$5,$G11,N$1,N$2)</f>
        <v>567389.22</v>
      </c>
      <c r="O11" s="23"/>
      <c r="P11" s="30">
        <f>-_xll.NSGLABAL($E$5,$G11,P$1,P$2)</f>
        <v>0</v>
      </c>
      <c r="Q11" s="23">
        <f t="shared" si="2"/>
        <v>1344962.61</v>
      </c>
      <c r="R11" s="45">
        <f t="shared" si="3"/>
        <v>0</v>
      </c>
      <c r="S11" s="5"/>
    </row>
    <row r="12" spans="2:23" s="6" customFormat="1" ht="21" customHeight="1" x14ac:dyDescent="0.25">
      <c r="B12" s="7"/>
      <c r="C12" s="30">
        <f>-_xll.NSGLABAL($E$5,$G12,E$1,E$2)</f>
        <v>9357.2000000000007</v>
      </c>
      <c r="D12" s="23">
        <f>-_xll.NSGLABUD($E$5,$C$5,$G12,E$1,E$2)</f>
        <v>0</v>
      </c>
      <c r="E12" s="31">
        <f t="shared" si="0"/>
        <v>9357.2000000000007</v>
      </c>
      <c r="F12" s="23"/>
      <c r="G12" s="37" t="str">
        <f>IF(TRUE,"4006","LI(3,0)")</f>
        <v>4006</v>
      </c>
      <c r="H12" s="38" t="str">
        <f>IF(TRUE,"Sales - Clearance","LI(3,1)")</f>
        <v>Sales - Clearance</v>
      </c>
      <c r="I12" s="23"/>
      <c r="J12" s="30">
        <f>-_xll.NSGLABAL($E$5,$G12,J$1,J$2)</f>
        <v>59894.65</v>
      </c>
      <c r="K12" s="23">
        <f>-_xll.NSGLABUD($E$5,$C$5,$G12,J$1,J$2)</f>
        <v>20668.89</v>
      </c>
      <c r="L12" s="31">
        <f t="shared" si="1"/>
        <v>39225.760000000002</v>
      </c>
      <c r="M12" s="23"/>
      <c r="N12" s="42">
        <f>-_xll.NSGLABUD($E$5,$C$5,$G12,N$1,N$2)</f>
        <v>733918.18</v>
      </c>
      <c r="O12" s="23"/>
      <c r="P12" s="30">
        <f>-_xll.NSGLABAL($E$5,$G12,P$1,P$2)</f>
        <v>0</v>
      </c>
      <c r="Q12" s="23">
        <f t="shared" si="2"/>
        <v>59894.65</v>
      </c>
      <c r="R12" s="45">
        <f t="shared" si="3"/>
        <v>0</v>
      </c>
      <c r="S12" s="5"/>
    </row>
    <row r="13" spans="2:23" s="6" customFormat="1" ht="21" customHeight="1" x14ac:dyDescent="0.25">
      <c r="B13" s="7"/>
      <c r="C13" s="30">
        <f>-_xll.NSGLABAL($E$5,$G13,E$1,E$2)</f>
        <v>2011039.93</v>
      </c>
      <c r="D13" s="23">
        <f>-_xll.NSGLABUD($E$5,$C$5,$G13,E$1,E$2)</f>
        <v>197981.41</v>
      </c>
      <c r="E13" s="31">
        <f t="shared" si="0"/>
        <v>1813058.52</v>
      </c>
      <c r="F13" s="23"/>
      <c r="G13" s="37" t="str">
        <f>IF(TRUE,"4008","LI(4,0)")</f>
        <v>4008</v>
      </c>
      <c r="H13" s="38" t="str">
        <f>IF(TRUE,"Sales - Warranty","LI(4,1)")</f>
        <v>Sales - Warranty</v>
      </c>
      <c r="I13" s="23"/>
      <c r="J13" s="30">
        <f>-_xll.NSGLABAL($E$5,$G13,J$1,J$2)</f>
        <v>9797908.3499999996</v>
      </c>
      <c r="K13" s="23">
        <f>-_xll.NSGLABUD($E$5,$C$5,$G13,J$1,J$2)</f>
        <v>940732.95</v>
      </c>
      <c r="L13" s="31">
        <f t="shared" si="1"/>
        <v>8857175.4000000004</v>
      </c>
      <c r="M13" s="23"/>
      <c r="N13" s="42">
        <f>-_xll.NSGLABUD($E$5,$C$5,$G13,N$1,N$2)</f>
        <v>1558147.24</v>
      </c>
      <c r="O13" s="23"/>
      <c r="P13" s="30">
        <f>-_xll.NSGLABAL($E$5,$G13,P$1,P$2)</f>
        <v>0</v>
      </c>
      <c r="Q13" s="23">
        <f t="shared" si="2"/>
        <v>9797908.3499999996</v>
      </c>
      <c r="R13" s="45">
        <f t="shared" si="3"/>
        <v>0</v>
      </c>
      <c r="S13" s="5"/>
    </row>
    <row r="14" spans="2:23" s="6" customFormat="1" ht="32.25" customHeight="1" x14ac:dyDescent="0.25">
      <c r="B14" s="7"/>
      <c r="C14" s="32">
        <f>-_xll.NSGLABAL($E$5,$G14,E$1,E$2)</f>
        <v>0</v>
      </c>
      <c r="D14" s="33">
        <f>-_xll.NSGLABUD($E$5,$C$5,$G14,E$1,E$2)</f>
        <v>0</v>
      </c>
      <c r="E14" s="34">
        <f t="shared" si="0"/>
        <v>0</v>
      </c>
      <c r="F14" s="23"/>
      <c r="G14" s="39" t="str">
        <f>IF(TRUE,"4100","LI(5,0)")</f>
        <v>4100</v>
      </c>
      <c r="H14" s="40" t="str">
        <f>IF(TRUE,"WIP eRev","LI(5,1)")</f>
        <v>WIP eRev</v>
      </c>
      <c r="I14" s="23"/>
      <c r="J14" s="32">
        <f>-_xll.NSGLABAL($E$5,$G14,J$1,J$2)</f>
        <v>-7360</v>
      </c>
      <c r="K14" s="33">
        <f>-_xll.NSGLABUD($E$5,$C$5,$G14,J$1,J$2)</f>
        <v>0</v>
      </c>
      <c r="L14" s="34">
        <f t="shared" si="1"/>
        <v>-7360</v>
      </c>
      <c r="M14" s="23"/>
      <c r="N14" s="43">
        <f>-_xll.NSGLABUD($E$5,$C$5,$G14,N$1,N$2)</f>
        <v>0</v>
      </c>
      <c r="O14" s="23"/>
      <c r="P14" s="32">
        <f>-_xll.NSGLABAL($E$5,$G14,P$1,P$2)</f>
        <v>0</v>
      </c>
      <c r="Q14" s="33">
        <f t="shared" si="2"/>
        <v>-7360</v>
      </c>
      <c r="R14" s="46">
        <f t="shared" si="3"/>
        <v>0</v>
      </c>
      <c r="S14" s="5"/>
    </row>
    <row r="15" spans="2:23" s="6" customFormat="1" ht="7.5" customHeight="1" x14ac:dyDescent="0.25">
      <c r="B15" s="5"/>
      <c r="C15" s="56"/>
      <c r="D15" s="56"/>
      <c r="E15" s="56"/>
      <c r="F15" s="23"/>
      <c r="G15" s="56"/>
      <c r="H15" s="56"/>
      <c r="I15" s="23"/>
      <c r="J15" s="56"/>
      <c r="K15" s="56"/>
      <c r="L15" s="56"/>
      <c r="M15" s="23"/>
      <c r="N15" s="56"/>
      <c r="O15" s="23"/>
      <c r="P15" s="56"/>
      <c r="Q15" s="56"/>
      <c r="R15" s="56"/>
      <c r="S15" s="5"/>
    </row>
    <row r="16" spans="2:23" s="3" customFormat="1" ht="19.5" customHeight="1" x14ac:dyDescent="0.25">
      <c r="B16" s="8"/>
      <c r="C16" s="68">
        <f>SUM(C9:C14)</f>
        <v>10578561.329999998</v>
      </c>
      <c r="D16" s="69">
        <f>SUM(D9:D14)</f>
        <v>1078442.7</v>
      </c>
      <c r="E16" s="72">
        <f>SUM(E9:E14)</f>
        <v>9500118.629999999</v>
      </c>
      <c r="F16" s="23"/>
      <c r="G16" s="73" t="s">
        <v>16</v>
      </c>
      <c r="H16" s="74" t="s">
        <v>1</v>
      </c>
      <c r="I16" s="23"/>
      <c r="J16" s="68">
        <f>SUM(J9:J14)</f>
        <v>38344481.289999999</v>
      </c>
      <c r="K16" s="69">
        <f>SUM(K9:K14)</f>
        <v>7486919.5300000003</v>
      </c>
      <c r="L16" s="72">
        <f>SUM(L9:L14)</f>
        <v>30857561.760000005</v>
      </c>
      <c r="M16" s="23"/>
      <c r="N16" s="71">
        <f>SUM(N9:N14)</f>
        <v>18837365.990000002</v>
      </c>
      <c r="O16" s="23"/>
      <c r="P16" s="68">
        <f>SUM(P9:P14)</f>
        <v>684043.91</v>
      </c>
      <c r="Q16" s="69">
        <f>J16-P16</f>
        <v>37660437.380000003</v>
      </c>
      <c r="R16" s="70">
        <f>IFERROR(Q16/P16*100, 0)</f>
        <v>5505.5584633448461</v>
      </c>
      <c r="S16" s="4"/>
    </row>
    <row r="17" spans="2:19" s="6" customFormat="1" ht="7.5" customHeight="1" x14ac:dyDescent="0.25">
      <c r="B17" s="5"/>
      <c r="C17" s="23"/>
      <c r="D17" s="23"/>
      <c r="E17" s="23"/>
      <c r="F17" s="23"/>
      <c r="G17" s="24"/>
      <c r="H17" s="24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5"/>
    </row>
    <row r="18" spans="2:19" s="6" customFormat="1" ht="21" customHeight="1" x14ac:dyDescent="0.25">
      <c r="B18" s="7"/>
      <c r="C18" s="27">
        <f>_xll.NSGLABAL($E$5,$G18,E$1,E$2)</f>
        <v>3385647.56</v>
      </c>
      <c r="D18" s="28">
        <f>_xll.NSGLABUD($E$5,$C$5,$G18,E$1,E$2)</f>
        <v>326371.59000000003</v>
      </c>
      <c r="E18" s="29">
        <f t="shared" ref="E18:E36" si="4">C18-D18</f>
        <v>3059275.97</v>
      </c>
      <c r="F18" s="23"/>
      <c r="G18" s="35" t="str">
        <f>IF(TRUE,"5000","LI(0,0)")</f>
        <v>5000</v>
      </c>
      <c r="H18" s="36" t="str">
        <f>IF(TRUE,"Purchases","LI(0,1)")</f>
        <v>Purchases</v>
      </c>
      <c r="I18" s="23"/>
      <c r="J18" s="27">
        <f>_xll.NSGLABAL($E$5,$G18,J$1,J$2)</f>
        <v>16926628.120000001</v>
      </c>
      <c r="K18" s="28">
        <f>_xll.NSGLABUD($E$5,$C$5,$G18,J$1,J$2)</f>
        <v>1541705.18</v>
      </c>
      <c r="L18" s="29">
        <f t="shared" ref="L18:L36" si="5">J18-K18</f>
        <v>15384922.940000001</v>
      </c>
      <c r="M18" s="23"/>
      <c r="N18" s="41">
        <f>_xll.NSGLABUD($E$5,$C$5,$G18,N$1,N$2)</f>
        <v>2933624.56</v>
      </c>
      <c r="O18" s="23"/>
      <c r="P18" s="27">
        <f>_xll.NSGLABAL($E$5,$G18,P$1,P$2)</f>
        <v>0</v>
      </c>
      <c r="Q18" s="28">
        <f t="shared" ref="Q18:Q36" si="6">J18-P18</f>
        <v>16926628.120000001</v>
      </c>
      <c r="R18" s="44">
        <f t="shared" ref="R18:R36" si="7">IFERROR(Q18/P18*100, 0)</f>
        <v>0</v>
      </c>
      <c r="S18" s="5"/>
    </row>
    <row r="19" spans="2:19" s="6" customFormat="1" ht="21" customHeight="1" x14ac:dyDescent="0.25">
      <c r="B19" s="7"/>
      <c r="C19" s="30">
        <f>_xll.NSGLABAL($E$5,$G19,E$1,E$2)</f>
        <v>49696.32</v>
      </c>
      <c r="D19" s="23">
        <f>_xll.NSGLABUD($E$5,$C$5,$G19,E$1,E$2)</f>
        <v>6699.72</v>
      </c>
      <c r="E19" s="31">
        <f t="shared" si="4"/>
        <v>42996.6</v>
      </c>
      <c r="F19" s="23"/>
      <c r="G19" s="37" t="str">
        <f>IF(TRUE,"5002","LI(1,0)")</f>
        <v>5002</v>
      </c>
      <c r="H19" s="38" t="str">
        <f>IF(TRUE,"Merchandise","LI(1,1)")</f>
        <v>Merchandise</v>
      </c>
      <c r="I19" s="23"/>
      <c r="J19" s="30">
        <f>_xll.NSGLABAL($E$5,$G19,J$1,J$2)</f>
        <v>5109445.8499999996</v>
      </c>
      <c r="K19" s="23">
        <f>_xll.NSGLABUD($E$5,$C$5,$G19,J$1,J$2)</f>
        <v>360316.85</v>
      </c>
      <c r="L19" s="31">
        <f t="shared" si="5"/>
        <v>4749129</v>
      </c>
      <c r="M19" s="23"/>
      <c r="N19" s="42">
        <f>_xll.NSGLABUD($E$5,$C$5,$G19,N$1,N$2)</f>
        <v>1409337.51</v>
      </c>
      <c r="O19" s="23"/>
      <c r="P19" s="30">
        <f>_xll.NSGLABAL($E$5,$G19,P$1,P$2)</f>
        <v>0</v>
      </c>
      <c r="Q19" s="23">
        <f t="shared" si="6"/>
        <v>5109445.8499999996</v>
      </c>
      <c r="R19" s="45">
        <f t="shared" si="7"/>
        <v>0</v>
      </c>
      <c r="S19" s="5"/>
    </row>
    <row r="20" spans="2:19" s="6" customFormat="1" ht="21" customHeight="1" x14ac:dyDescent="0.25">
      <c r="B20" s="7"/>
      <c r="C20" s="30">
        <f>_xll.NSGLABAL($E$5,$G20,E$1,E$2)</f>
        <v>82768.78</v>
      </c>
      <c r="D20" s="23">
        <f>_xll.NSGLABUD($E$5,$C$5,$G20,E$1,E$2)</f>
        <v>9435.9699999999993</v>
      </c>
      <c r="E20" s="31">
        <f t="shared" si="4"/>
        <v>73332.81</v>
      </c>
      <c r="F20" s="23"/>
      <c r="G20" s="37" t="str">
        <f>IF(TRUE,"5004","LI(2,0)")</f>
        <v>5004</v>
      </c>
      <c r="H20" s="38" t="str">
        <f>IF(TRUE,"Service","LI(2,1)")</f>
        <v>Service</v>
      </c>
      <c r="I20" s="23"/>
      <c r="J20" s="30">
        <f>_xll.NSGLABAL($E$5,$G20,J$1,J$2)</f>
        <v>367505.76</v>
      </c>
      <c r="K20" s="23">
        <f>_xll.NSGLABUD($E$5,$C$5,$G20,J$1,J$2)</f>
        <v>47557.440000000002</v>
      </c>
      <c r="L20" s="31">
        <f t="shared" si="5"/>
        <v>319948.32</v>
      </c>
      <c r="M20" s="23"/>
      <c r="N20" s="42">
        <f>_xll.NSGLABUD($E$5,$C$5,$G20,N$1,N$2)</f>
        <v>134640.70000000001</v>
      </c>
      <c r="O20" s="23"/>
      <c r="P20" s="30">
        <f>_xll.NSGLABAL($E$5,$G20,P$1,P$2)</f>
        <v>0</v>
      </c>
      <c r="Q20" s="23">
        <f t="shared" si="6"/>
        <v>367505.76</v>
      </c>
      <c r="R20" s="45">
        <f t="shared" si="7"/>
        <v>0</v>
      </c>
      <c r="S20" s="5"/>
    </row>
    <row r="21" spans="2:19" s="6" customFormat="1" ht="21" customHeight="1" x14ac:dyDescent="0.25">
      <c r="B21" s="7"/>
      <c r="C21" s="30">
        <f>_xll.NSGLABAL($E$5,$G21,E$1,E$2)</f>
        <v>3545191.12</v>
      </c>
      <c r="D21" s="23">
        <f>_xll.NSGLABUD($E$5,$C$5,$G21,E$1,E$2)</f>
        <v>243508.69</v>
      </c>
      <c r="E21" s="31">
        <f t="shared" si="4"/>
        <v>3301682.43</v>
      </c>
      <c r="F21" s="23"/>
      <c r="G21" s="37" t="str">
        <f>IF(TRUE,"5020","LI(3,0)")</f>
        <v>5020</v>
      </c>
      <c r="H21" s="38" t="str">
        <f>IF(TRUE,"Salaries &amp; Wages","LI(3,1)")</f>
        <v>Salaries &amp; Wages</v>
      </c>
      <c r="I21" s="23"/>
      <c r="J21" s="30">
        <f>_xll.NSGLABAL($E$5,$G21,J$1,J$2)</f>
        <v>22676935.620000001</v>
      </c>
      <c r="K21" s="23">
        <f>_xll.NSGLABUD($E$5,$C$5,$G21,J$1,J$2)</f>
        <v>1637973.7</v>
      </c>
      <c r="L21" s="31">
        <f t="shared" si="5"/>
        <v>21038961.920000002</v>
      </c>
      <c r="M21" s="23"/>
      <c r="N21" s="42">
        <f>_xll.NSGLABUD($E$5,$C$5,$G21,N$1,N$2)</f>
        <v>4111189.25</v>
      </c>
      <c r="O21" s="23"/>
      <c r="P21" s="30">
        <f>_xll.NSGLABAL($E$5,$G21,P$1,P$2)</f>
        <v>0</v>
      </c>
      <c r="Q21" s="23">
        <f t="shared" si="6"/>
        <v>22676935.620000001</v>
      </c>
      <c r="R21" s="45">
        <f t="shared" si="7"/>
        <v>0</v>
      </c>
      <c r="S21" s="5"/>
    </row>
    <row r="22" spans="2:19" s="6" customFormat="1" ht="21" customHeight="1" x14ac:dyDescent="0.25">
      <c r="B22" s="7"/>
      <c r="C22" s="30">
        <f>_xll.NSGLABAL($E$5,$G22,E$1,E$2)</f>
        <v>15248.5</v>
      </c>
      <c r="D22" s="23">
        <f>_xll.NSGLABUD($E$5,$C$5,$G22,E$1,E$2)</f>
        <v>737.43</v>
      </c>
      <c r="E22" s="31">
        <f t="shared" si="4"/>
        <v>14511.07</v>
      </c>
      <c r="F22" s="23"/>
      <c r="G22" s="37" t="str">
        <f>IF(TRUE,"5040","LI(4,0)")</f>
        <v>5040</v>
      </c>
      <c r="H22" s="38" t="str">
        <f>IF(TRUE,"Damaged Goods","LI(4,1)")</f>
        <v>Damaged Goods</v>
      </c>
      <c r="I22" s="23"/>
      <c r="J22" s="30">
        <f>_xll.NSGLABAL($E$5,$G22,J$1,J$2)</f>
        <v>835931.94</v>
      </c>
      <c r="K22" s="23">
        <f>_xll.NSGLABUD($E$5,$C$5,$G22,J$1,J$2)</f>
        <v>98073.59</v>
      </c>
      <c r="L22" s="31">
        <f t="shared" si="5"/>
        <v>737858.35</v>
      </c>
      <c r="M22" s="23"/>
      <c r="N22" s="42">
        <f>_xll.NSGLABUD($E$5,$C$5,$G22,N$1,N$2)</f>
        <v>191300.4</v>
      </c>
      <c r="O22" s="23"/>
      <c r="P22" s="30">
        <f>_xll.NSGLABAL($E$5,$G22,P$1,P$2)</f>
        <v>0</v>
      </c>
      <c r="Q22" s="23">
        <f t="shared" si="6"/>
        <v>835931.94</v>
      </c>
      <c r="R22" s="45">
        <f t="shared" si="7"/>
        <v>0</v>
      </c>
      <c r="S22" s="5"/>
    </row>
    <row r="23" spans="2:19" s="6" customFormat="1" ht="21" customHeight="1" x14ac:dyDescent="0.25">
      <c r="B23" s="7"/>
      <c r="C23" s="30">
        <f>_xll.NSGLABAL($E$5,$G23,E$1,E$2)</f>
        <v>107374.25</v>
      </c>
      <c r="D23" s="23">
        <f>_xll.NSGLABUD($E$5,$C$5,$G23,E$1,E$2)</f>
        <v>5000</v>
      </c>
      <c r="E23" s="31">
        <f t="shared" si="4"/>
        <v>102374.25</v>
      </c>
      <c r="F23" s="23"/>
      <c r="G23" s="37" t="str">
        <f>IF(TRUE,"5080","LI(5,0)")</f>
        <v>5080</v>
      </c>
      <c r="H23" s="38" t="str">
        <f>IF(TRUE,"Inventory Write Offs","LI(5,1)")</f>
        <v>Inventory Write Offs</v>
      </c>
      <c r="I23" s="23"/>
      <c r="J23" s="30">
        <f>_xll.NSGLABAL($E$5,$G23,J$1,J$2)</f>
        <v>290570.43</v>
      </c>
      <c r="K23" s="23">
        <f>_xll.NSGLABUD($E$5,$C$5,$G23,J$1,J$2)</f>
        <v>38888.79</v>
      </c>
      <c r="L23" s="31">
        <f t="shared" si="5"/>
        <v>251681.63999999998</v>
      </c>
      <c r="M23" s="23"/>
      <c r="N23" s="42">
        <f>_xll.NSGLABUD($E$5,$C$5,$G23,N$1,N$2)</f>
        <v>117507.25</v>
      </c>
      <c r="O23" s="23"/>
      <c r="P23" s="30">
        <f>_xll.NSGLABAL($E$5,$G23,P$1,P$2)</f>
        <v>0</v>
      </c>
      <c r="Q23" s="23">
        <f t="shared" si="6"/>
        <v>290570.43</v>
      </c>
      <c r="R23" s="45">
        <f t="shared" si="7"/>
        <v>0</v>
      </c>
      <c r="S23" s="5"/>
    </row>
    <row r="24" spans="2:19" s="6" customFormat="1" ht="21" hidden="1" customHeight="1" x14ac:dyDescent="0.25">
      <c r="B24" s="7"/>
      <c r="C24" s="30">
        <f>_xll.NSGLABAL($E$5,$G24,E$1,E$2)</f>
        <v>0</v>
      </c>
      <c r="D24" s="23">
        <f>_xll.NSGLABUD($E$5,$C$5,$G24,E$1,E$2)</f>
        <v>0</v>
      </c>
      <c r="E24" s="31">
        <f t="shared" si="4"/>
        <v>0</v>
      </c>
      <c r="F24" s="23"/>
      <c r="G24" s="37" t="str">
        <f>IF(TRUE,"5085","LI(6,0)")</f>
        <v>5085</v>
      </c>
      <c r="H24" s="38" t="str">
        <f>IF(TRUE,"Customer Return Variance","LI(6,1)")</f>
        <v>Customer Return Variance</v>
      </c>
      <c r="I24" s="23"/>
      <c r="J24" s="30">
        <f>_xll.NSGLABAL($E$5,$G24,J$1,J$2)</f>
        <v>0</v>
      </c>
      <c r="K24" s="23">
        <f>_xll.NSGLABUD($E$5,$C$5,$G24,J$1,J$2)</f>
        <v>0</v>
      </c>
      <c r="L24" s="31">
        <f t="shared" si="5"/>
        <v>0</v>
      </c>
      <c r="M24" s="23"/>
      <c r="N24" s="42">
        <f>_xll.NSGLABUD($E$5,$C$5,$G24,N$1,N$2)</f>
        <v>0</v>
      </c>
      <c r="O24" s="23"/>
      <c r="P24" s="30">
        <f>_xll.NSGLABAL($E$5,$G24,P$1,P$2)</f>
        <v>0</v>
      </c>
      <c r="Q24" s="23">
        <f t="shared" si="6"/>
        <v>0</v>
      </c>
      <c r="R24" s="45">
        <f t="shared" si="7"/>
        <v>0</v>
      </c>
      <c r="S24" s="5"/>
    </row>
    <row r="25" spans="2:19" s="6" customFormat="1" ht="21" hidden="1" customHeight="1" x14ac:dyDescent="0.25">
      <c r="B25" s="7"/>
      <c r="C25" s="30">
        <f>_xll.NSGLABAL($E$5,$G25,E$1,E$2)</f>
        <v>0</v>
      </c>
      <c r="D25" s="23">
        <f>_xll.NSGLABUD($E$5,$C$5,$G25,E$1,E$2)</f>
        <v>0</v>
      </c>
      <c r="E25" s="31">
        <f t="shared" si="4"/>
        <v>0</v>
      </c>
      <c r="F25" s="23"/>
      <c r="G25" s="37" t="str">
        <f>IF(TRUE,"5086","LI(7,0)")</f>
        <v>5086</v>
      </c>
      <c r="H25" s="38" t="str">
        <f>IF(TRUE,"Vendor Return Variance","LI(7,1)")</f>
        <v>Vendor Return Variance</v>
      </c>
      <c r="I25" s="23"/>
      <c r="J25" s="30">
        <f>_xll.NSGLABAL($E$5,$G25,J$1,J$2)</f>
        <v>0</v>
      </c>
      <c r="K25" s="23">
        <f>_xll.NSGLABUD($E$5,$C$5,$G25,J$1,J$2)</f>
        <v>0</v>
      </c>
      <c r="L25" s="31">
        <f t="shared" si="5"/>
        <v>0</v>
      </c>
      <c r="M25" s="23"/>
      <c r="N25" s="42">
        <f>_xll.NSGLABUD($E$5,$C$5,$G25,N$1,N$2)</f>
        <v>0</v>
      </c>
      <c r="O25" s="23"/>
      <c r="P25" s="30">
        <f>_xll.NSGLABAL($E$5,$G25,P$1,P$2)</f>
        <v>0</v>
      </c>
      <c r="Q25" s="23">
        <f t="shared" si="6"/>
        <v>0</v>
      </c>
      <c r="R25" s="45">
        <f t="shared" si="7"/>
        <v>0</v>
      </c>
      <c r="S25" s="5"/>
    </row>
    <row r="26" spans="2:19" s="6" customFormat="1" ht="21" hidden="1" customHeight="1" x14ac:dyDescent="0.25">
      <c r="B26" s="7"/>
      <c r="C26" s="30">
        <f>_xll.NSGLABAL($E$5,$G26,E$1,E$2)</f>
        <v>0</v>
      </c>
      <c r="D26" s="23">
        <f>_xll.NSGLABUD($E$5,$C$5,$G26,E$1,E$2)</f>
        <v>0</v>
      </c>
      <c r="E26" s="31">
        <f t="shared" si="4"/>
        <v>0</v>
      </c>
      <c r="F26" s="23"/>
      <c r="G26" s="37" t="str">
        <f>IF(TRUE,"5091","LI(9,0)")</f>
        <v>5091</v>
      </c>
      <c r="H26" s="38" t="str">
        <f>IF(TRUE,"Inventory Transfer Price Gain / Loss","LI(9,1)")</f>
        <v>Inventory Transfer Price Gain / Loss</v>
      </c>
      <c r="I26" s="23"/>
      <c r="J26" s="30">
        <f>_xll.NSGLABAL($E$5,$G26,J$1,J$2)</f>
        <v>0</v>
      </c>
      <c r="K26" s="23">
        <f>_xll.NSGLABUD($E$5,$C$5,$G26,J$1,J$2)</f>
        <v>0</v>
      </c>
      <c r="L26" s="31">
        <f t="shared" si="5"/>
        <v>0</v>
      </c>
      <c r="M26" s="23"/>
      <c r="N26" s="42">
        <f>_xll.NSGLABUD($E$5,$C$5,$G26,N$1,N$2)</f>
        <v>0</v>
      </c>
      <c r="O26" s="23"/>
      <c r="P26" s="30">
        <f>_xll.NSGLABAL($E$5,$G26,P$1,P$2)</f>
        <v>0</v>
      </c>
      <c r="Q26" s="23">
        <f t="shared" si="6"/>
        <v>0</v>
      </c>
      <c r="R26" s="45">
        <f t="shared" si="7"/>
        <v>0</v>
      </c>
      <c r="S26" s="5"/>
    </row>
    <row r="27" spans="2:19" s="6" customFormat="1" ht="21" customHeight="1" x14ac:dyDescent="0.25">
      <c r="B27" s="7"/>
      <c r="C27" s="30">
        <f>_xll.NSGLABAL($E$5,$G27,E$1,E$2)</f>
        <v>0</v>
      </c>
      <c r="D27" s="23">
        <f>_xll.NSGLABUD($E$5,$C$5,$G27,E$1,E$2)</f>
        <v>0</v>
      </c>
      <c r="E27" s="31">
        <f t="shared" si="4"/>
        <v>0</v>
      </c>
      <c r="F27" s="23"/>
      <c r="G27" s="37" t="str">
        <f>IF(TRUE,"5092","LI(10,0)")</f>
        <v>5092</v>
      </c>
      <c r="H27" s="38" t="str">
        <f>IF(TRUE,"Purchase Price Variance","LI(10,1)")</f>
        <v>Purchase Price Variance</v>
      </c>
      <c r="I27" s="23"/>
      <c r="J27" s="30">
        <f>_xll.NSGLABAL($E$5,$G27,J$1,J$2)</f>
        <v>2258.4899999999998</v>
      </c>
      <c r="K27" s="23">
        <f>_xll.NSGLABUD($E$5,$C$5,$G27,J$1,J$2)</f>
        <v>0</v>
      </c>
      <c r="L27" s="31">
        <f t="shared" si="5"/>
        <v>2258.4899999999998</v>
      </c>
      <c r="M27" s="23"/>
      <c r="N27" s="42">
        <f>_xll.NSGLABUD($E$5,$C$5,$G27,N$1,N$2)</f>
        <v>0</v>
      </c>
      <c r="O27" s="23"/>
      <c r="P27" s="30">
        <f>_xll.NSGLABAL($E$5,$G27,P$1,P$2)</f>
        <v>0</v>
      </c>
      <c r="Q27" s="23">
        <f t="shared" si="6"/>
        <v>2258.4899999999998</v>
      </c>
      <c r="R27" s="45">
        <f t="shared" si="7"/>
        <v>0</v>
      </c>
      <c r="S27" s="5"/>
    </row>
    <row r="28" spans="2:19" s="6" customFormat="1" ht="21" customHeight="1" x14ac:dyDescent="0.25">
      <c r="B28" s="7"/>
      <c r="C28" s="30">
        <f>_xll.NSGLABAL($E$5,$G28,E$1,E$2)</f>
        <v>0</v>
      </c>
      <c r="D28" s="23">
        <f>_xll.NSGLABUD($E$5,$C$5,$G28,E$1,E$2)</f>
        <v>0</v>
      </c>
      <c r="E28" s="31">
        <f t="shared" si="4"/>
        <v>0</v>
      </c>
      <c r="F28" s="23"/>
      <c r="G28" s="37" t="str">
        <f>IF(TRUE,"5093","LI(11,0)")</f>
        <v>5093</v>
      </c>
      <c r="H28" s="38" t="str">
        <f>IF(TRUE,"Build Price Variance","LI(11,1)")</f>
        <v>Build Price Variance</v>
      </c>
      <c r="I28" s="23"/>
      <c r="J28" s="30">
        <f>_xll.NSGLABAL($E$5,$G28,J$1,J$2)</f>
        <v>7613.42</v>
      </c>
      <c r="K28" s="23">
        <f>_xll.NSGLABUD($E$5,$C$5,$G28,J$1,J$2)</f>
        <v>0</v>
      </c>
      <c r="L28" s="31">
        <f t="shared" si="5"/>
        <v>7613.42</v>
      </c>
      <c r="M28" s="23"/>
      <c r="N28" s="42">
        <f>_xll.NSGLABUD($E$5,$C$5,$G28,N$1,N$2)</f>
        <v>0</v>
      </c>
      <c r="O28" s="23"/>
      <c r="P28" s="30">
        <f>_xll.NSGLABAL($E$5,$G28,P$1,P$2)</f>
        <v>0</v>
      </c>
      <c r="Q28" s="23">
        <f t="shared" si="6"/>
        <v>7613.42</v>
      </c>
      <c r="R28" s="45">
        <f t="shared" si="7"/>
        <v>0</v>
      </c>
      <c r="S28" s="5"/>
    </row>
    <row r="29" spans="2:19" s="6" customFormat="1" ht="21" customHeight="1" x14ac:dyDescent="0.25">
      <c r="B29" s="7"/>
      <c r="C29" s="30">
        <f>_xll.NSGLABAL($E$5,$G29,E$1,E$2)</f>
        <v>0</v>
      </c>
      <c r="D29" s="23">
        <f>_xll.NSGLABUD($E$5,$C$5,$G29,E$1,E$2)</f>
        <v>0</v>
      </c>
      <c r="E29" s="31">
        <f t="shared" si="4"/>
        <v>0</v>
      </c>
      <c r="F29" s="23"/>
      <c r="G29" s="37" t="str">
        <f>IF(TRUE,"5094","LI(12,0)")</f>
        <v>5094</v>
      </c>
      <c r="H29" s="38" t="str">
        <f>IF(TRUE,"Build Quantity Variance","LI(12,1)")</f>
        <v>Build Quantity Variance</v>
      </c>
      <c r="I29" s="23"/>
      <c r="J29" s="30">
        <f>_xll.NSGLABAL($E$5,$G29,J$1,J$2)</f>
        <v>-14058.49</v>
      </c>
      <c r="K29" s="23">
        <f>_xll.NSGLABUD($E$5,$C$5,$G29,J$1,J$2)</f>
        <v>0</v>
      </c>
      <c r="L29" s="31">
        <f t="shared" si="5"/>
        <v>-14058.49</v>
      </c>
      <c r="M29" s="23"/>
      <c r="N29" s="42">
        <f>_xll.NSGLABUD($E$5,$C$5,$G29,N$1,N$2)</f>
        <v>0</v>
      </c>
      <c r="O29" s="23"/>
      <c r="P29" s="30">
        <f>_xll.NSGLABAL($E$5,$G29,P$1,P$2)</f>
        <v>0</v>
      </c>
      <c r="Q29" s="23">
        <f t="shared" si="6"/>
        <v>-14058.49</v>
      </c>
      <c r="R29" s="45">
        <f t="shared" si="7"/>
        <v>0</v>
      </c>
      <c r="S29" s="5"/>
    </row>
    <row r="30" spans="2:19" s="6" customFormat="1" ht="21" hidden="1" customHeight="1" x14ac:dyDescent="0.25">
      <c r="B30" s="7"/>
      <c r="C30" s="30">
        <f>_xll.NSGLABAL($E$5,$G30,E$1,E$2)</f>
        <v>0</v>
      </c>
      <c r="D30" s="23">
        <f>_xll.NSGLABUD($E$5,$C$5,$G30,E$1,E$2)</f>
        <v>0</v>
      </c>
      <c r="E30" s="31">
        <f t="shared" si="4"/>
        <v>0</v>
      </c>
      <c r="F30" s="23"/>
      <c r="G30" s="37" t="str">
        <f>IF(TRUE,"5095","LI(13,0)")</f>
        <v>5095</v>
      </c>
      <c r="H30" s="38" t="str">
        <f>IF(TRUE,"Bill Quantity Variance","LI(13,1)")</f>
        <v>Bill Quantity Variance</v>
      </c>
      <c r="I30" s="23"/>
      <c r="J30" s="30">
        <f>_xll.NSGLABAL($E$5,$G30,J$1,J$2)</f>
        <v>0</v>
      </c>
      <c r="K30" s="23">
        <f>_xll.NSGLABUD($E$5,$C$5,$G30,J$1,J$2)</f>
        <v>0</v>
      </c>
      <c r="L30" s="31">
        <f t="shared" si="5"/>
        <v>0</v>
      </c>
      <c r="M30" s="23"/>
      <c r="N30" s="42">
        <f>_xll.NSGLABUD($E$5,$C$5,$G30,N$1,N$2)</f>
        <v>0</v>
      </c>
      <c r="O30" s="23"/>
      <c r="P30" s="30">
        <f>_xll.NSGLABAL($E$5,$G30,P$1,P$2)</f>
        <v>0</v>
      </c>
      <c r="Q30" s="23">
        <f t="shared" si="6"/>
        <v>0</v>
      </c>
      <c r="R30" s="45">
        <f t="shared" si="7"/>
        <v>0</v>
      </c>
      <c r="S30" s="5"/>
    </row>
    <row r="31" spans="2:19" s="6" customFormat="1" ht="21" hidden="1" customHeight="1" x14ac:dyDescent="0.25">
      <c r="B31" s="7"/>
      <c r="C31" s="30">
        <f>_xll.NSGLABAL($E$5,$G31,E$1,E$2)</f>
        <v>0</v>
      </c>
      <c r="D31" s="23">
        <f>_xll.NSGLABUD($E$5,$C$5,$G31,E$1,E$2)</f>
        <v>0</v>
      </c>
      <c r="E31" s="31">
        <f t="shared" si="4"/>
        <v>0</v>
      </c>
      <c r="F31" s="23"/>
      <c r="G31" s="37" t="str">
        <f>IF(TRUE,"5096","LI(14,0)")</f>
        <v>5096</v>
      </c>
      <c r="H31" s="38" t="str">
        <f>IF(TRUE,"Bill Price Variance","LI(14,1)")</f>
        <v>Bill Price Variance</v>
      </c>
      <c r="I31" s="23"/>
      <c r="J31" s="30">
        <f>_xll.NSGLABAL($E$5,$G31,J$1,J$2)</f>
        <v>0</v>
      </c>
      <c r="K31" s="23">
        <f>_xll.NSGLABUD($E$5,$C$5,$G31,J$1,J$2)</f>
        <v>0</v>
      </c>
      <c r="L31" s="31">
        <f t="shared" si="5"/>
        <v>0</v>
      </c>
      <c r="M31" s="23"/>
      <c r="N31" s="42">
        <f>_xll.NSGLABUD($E$5,$C$5,$G31,N$1,N$2)</f>
        <v>0</v>
      </c>
      <c r="O31" s="23"/>
      <c r="P31" s="30">
        <f>_xll.NSGLABAL($E$5,$G31,P$1,P$2)</f>
        <v>0</v>
      </c>
      <c r="Q31" s="23">
        <f t="shared" si="6"/>
        <v>0</v>
      </c>
      <c r="R31" s="45">
        <f t="shared" si="7"/>
        <v>0</v>
      </c>
      <c r="S31" s="5"/>
    </row>
    <row r="32" spans="2:19" s="6" customFormat="1" ht="21" hidden="1" customHeight="1" x14ac:dyDescent="0.25">
      <c r="B32" s="7"/>
      <c r="C32" s="30">
        <f>_xll.NSGLABAL($E$5,$G32,E$1,E$2)</f>
        <v>0</v>
      </c>
      <c r="D32" s="23">
        <f>_xll.NSGLABUD($E$5,$C$5,$G32,E$1,E$2)</f>
        <v>0</v>
      </c>
      <c r="E32" s="31">
        <f t="shared" si="4"/>
        <v>0</v>
      </c>
      <c r="F32" s="23"/>
      <c r="G32" s="37" t="str">
        <f>IF(TRUE,"5097","LI(15,0)")</f>
        <v>5097</v>
      </c>
      <c r="H32" s="38" t="str">
        <f>IF(TRUE,"Bill Exchange Rate Variance","LI(15,1)")</f>
        <v>Bill Exchange Rate Variance</v>
      </c>
      <c r="I32" s="23"/>
      <c r="J32" s="30">
        <f>_xll.NSGLABAL($E$5,$G32,J$1,J$2)</f>
        <v>0</v>
      </c>
      <c r="K32" s="23">
        <f>_xll.NSGLABUD($E$5,$C$5,$G32,J$1,J$2)</f>
        <v>0</v>
      </c>
      <c r="L32" s="31">
        <f t="shared" si="5"/>
        <v>0</v>
      </c>
      <c r="M32" s="23"/>
      <c r="N32" s="42">
        <f>_xll.NSGLABUD($E$5,$C$5,$G32,N$1,N$2)</f>
        <v>0</v>
      </c>
      <c r="O32" s="23"/>
      <c r="P32" s="30">
        <f>_xll.NSGLABAL($E$5,$G32,P$1,P$2)</f>
        <v>0</v>
      </c>
      <c r="Q32" s="23">
        <f t="shared" si="6"/>
        <v>0</v>
      </c>
      <c r="R32" s="45">
        <f t="shared" si="7"/>
        <v>0</v>
      </c>
      <c r="S32" s="5"/>
    </row>
    <row r="33" spans="2:19" s="6" customFormat="1" ht="21" hidden="1" customHeight="1" x14ac:dyDescent="0.25">
      <c r="B33" s="7"/>
      <c r="C33" s="30">
        <f>_xll.NSGLABAL($E$5,$G33,E$1,E$2)</f>
        <v>0</v>
      </c>
      <c r="D33" s="23">
        <f>_xll.NSGLABUD($E$5,$C$5,$G33,E$1,E$2)</f>
        <v>0</v>
      </c>
      <c r="E33" s="31">
        <f t="shared" si="4"/>
        <v>0</v>
      </c>
      <c r="F33" s="23"/>
      <c r="G33" s="37" t="str">
        <f>IF(TRUE,"5098","LI(16,0)")</f>
        <v>5098</v>
      </c>
      <c r="H33" s="38" t="str">
        <f>IF(TRUE,"Unbuild Variance","LI(16,1)")</f>
        <v>Unbuild Variance</v>
      </c>
      <c r="I33" s="23"/>
      <c r="J33" s="30">
        <f>_xll.NSGLABAL($E$5,$G33,J$1,J$2)</f>
        <v>0</v>
      </c>
      <c r="K33" s="23">
        <f>_xll.NSGLABUD($E$5,$C$5,$G33,J$1,J$2)</f>
        <v>0</v>
      </c>
      <c r="L33" s="31">
        <f t="shared" si="5"/>
        <v>0</v>
      </c>
      <c r="M33" s="23"/>
      <c r="N33" s="42">
        <f>_xll.NSGLABUD($E$5,$C$5,$G33,N$1,N$2)</f>
        <v>0</v>
      </c>
      <c r="O33" s="23"/>
      <c r="P33" s="30">
        <f>_xll.NSGLABAL($E$5,$G33,P$1,P$2)</f>
        <v>0</v>
      </c>
      <c r="Q33" s="23">
        <f t="shared" si="6"/>
        <v>0</v>
      </c>
      <c r="R33" s="45">
        <f t="shared" si="7"/>
        <v>0</v>
      </c>
      <c r="S33" s="5"/>
    </row>
    <row r="34" spans="2:19" s="6" customFormat="1" ht="21" customHeight="1" x14ac:dyDescent="0.25">
      <c r="B34" s="7"/>
      <c r="C34" s="30">
        <f>_xll.NSGLABAL($E$5,$G34,E$1,E$2)</f>
        <v>529.97</v>
      </c>
      <c r="D34" s="23">
        <f>_xll.NSGLABUD($E$5,$C$5,$G34,E$1,E$2)</f>
        <v>5264.99</v>
      </c>
      <c r="E34" s="31">
        <f t="shared" si="4"/>
        <v>-4735.0199999999995</v>
      </c>
      <c r="F34" s="23"/>
      <c r="G34" s="37" t="str">
        <f>IF(TRUE,"5101","LI(18,0)")</f>
        <v>5101</v>
      </c>
      <c r="H34" s="38" t="str">
        <f>IF(TRUE,"Mfg Scrap","LI(18,1)")</f>
        <v>Mfg Scrap</v>
      </c>
      <c r="I34" s="23"/>
      <c r="J34" s="30">
        <f>_xll.NSGLABAL($E$5,$G34,J$1,J$2)</f>
        <v>2490.96</v>
      </c>
      <c r="K34" s="23">
        <f>_xll.NSGLABUD($E$5,$C$5,$G34,J$1,J$2)</f>
        <v>21059.96</v>
      </c>
      <c r="L34" s="31">
        <f t="shared" si="5"/>
        <v>-18569</v>
      </c>
      <c r="M34" s="23"/>
      <c r="N34" s="42">
        <f>_xll.NSGLABUD($E$5,$C$5,$G34,N$1,N$2)</f>
        <v>63179.88</v>
      </c>
      <c r="O34" s="23"/>
      <c r="P34" s="30">
        <f>_xll.NSGLABAL($E$5,$G34,P$1,P$2)</f>
        <v>0</v>
      </c>
      <c r="Q34" s="23">
        <f t="shared" si="6"/>
        <v>2490.96</v>
      </c>
      <c r="R34" s="45">
        <f t="shared" si="7"/>
        <v>0</v>
      </c>
      <c r="S34" s="5"/>
    </row>
    <row r="35" spans="2:19" s="6" customFormat="1" ht="21" customHeight="1" x14ac:dyDescent="0.25">
      <c r="B35" s="7"/>
      <c r="C35" s="30">
        <f>_xll.NSGLABAL($E$5,$G35,E$1,E$2)</f>
        <v>0</v>
      </c>
      <c r="D35" s="23">
        <f>_xll.NSGLABUD($E$5,$C$5,$G35,E$1,E$2)</f>
        <v>0</v>
      </c>
      <c r="E35" s="31">
        <f t="shared" si="4"/>
        <v>0</v>
      </c>
      <c r="F35" s="23"/>
      <c r="G35" s="37" t="str">
        <f>IF(TRUE,"5102","LI(19,0)")</f>
        <v>5102</v>
      </c>
      <c r="H35" s="38" t="str">
        <f>IF(TRUE,"WIP Variance","LI(19,1)")</f>
        <v>WIP Variance</v>
      </c>
      <c r="I35" s="23"/>
      <c r="J35" s="30">
        <f>_xll.NSGLABAL($E$5,$G35,J$1,J$2)</f>
        <v>3781</v>
      </c>
      <c r="K35" s="23">
        <f>_xll.NSGLABUD($E$5,$C$5,$G35,J$1,J$2)</f>
        <v>0</v>
      </c>
      <c r="L35" s="31">
        <f t="shared" si="5"/>
        <v>3781</v>
      </c>
      <c r="M35" s="23"/>
      <c r="N35" s="42">
        <f>_xll.NSGLABUD($E$5,$C$5,$G35,N$1,N$2)</f>
        <v>0</v>
      </c>
      <c r="O35" s="23"/>
      <c r="P35" s="30">
        <f>_xll.NSGLABAL($E$5,$G35,P$1,P$2)</f>
        <v>0</v>
      </c>
      <c r="Q35" s="23">
        <f t="shared" si="6"/>
        <v>3781</v>
      </c>
      <c r="R35" s="45">
        <f t="shared" si="7"/>
        <v>0</v>
      </c>
      <c r="S35" s="5"/>
    </row>
    <row r="36" spans="2:19" s="6" customFormat="1" ht="21" customHeight="1" x14ac:dyDescent="0.25">
      <c r="B36" s="7"/>
      <c r="C36" s="32">
        <f>_xll.NSGLABAL($E$5,$G36,E$1,E$2)</f>
        <v>0</v>
      </c>
      <c r="D36" s="33">
        <f>_xll.NSGLABUD($E$5,$C$5,$G36,E$1,E$2)</f>
        <v>0</v>
      </c>
      <c r="E36" s="34">
        <f t="shared" si="4"/>
        <v>0</v>
      </c>
      <c r="F36" s="23"/>
      <c r="G36" s="39" t="str">
        <f>IF(TRUE,"5200","LI(20,0)")</f>
        <v>5200</v>
      </c>
      <c r="H36" s="40" t="str">
        <f>IF(TRUE,"Vendor Rebates","LI(20,1)")</f>
        <v>Vendor Rebates</v>
      </c>
      <c r="I36" s="23"/>
      <c r="J36" s="32">
        <f>_xll.NSGLABAL($E$5,$G36,J$1,J$2)</f>
        <v>-15</v>
      </c>
      <c r="K36" s="33">
        <f>_xll.NSGLABUD($E$5,$C$5,$G36,J$1,J$2)</f>
        <v>0</v>
      </c>
      <c r="L36" s="34">
        <f t="shared" si="5"/>
        <v>-15</v>
      </c>
      <c r="M36" s="23"/>
      <c r="N36" s="43">
        <f>_xll.NSGLABUD($E$5,$C$5,$G36,N$1,N$2)</f>
        <v>0</v>
      </c>
      <c r="O36" s="23"/>
      <c r="P36" s="32">
        <f>_xll.NSGLABAL($E$5,$G36,P$1,P$2)</f>
        <v>0</v>
      </c>
      <c r="Q36" s="33">
        <f t="shared" si="6"/>
        <v>-15</v>
      </c>
      <c r="R36" s="46">
        <f t="shared" si="7"/>
        <v>0</v>
      </c>
      <c r="S36" s="5"/>
    </row>
    <row r="37" spans="2:19" s="6" customFormat="1" ht="7.5" customHeight="1" x14ac:dyDescent="0.25">
      <c r="B37" s="5"/>
      <c r="C37" s="56"/>
      <c r="D37" s="56"/>
      <c r="E37" s="56"/>
      <c r="F37" s="23"/>
      <c r="G37" s="56"/>
      <c r="H37" s="56"/>
      <c r="I37" s="23"/>
      <c r="J37" s="56"/>
      <c r="K37" s="56"/>
      <c r="L37" s="56"/>
      <c r="M37" s="23"/>
      <c r="N37" s="56"/>
      <c r="O37" s="23"/>
      <c r="P37" s="56"/>
      <c r="Q37" s="56"/>
      <c r="R37" s="56"/>
      <c r="S37" s="5"/>
    </row>
    <row r="38" spans="2:19" s="3" customFormat="1" ht="19.5" customHeight="1" x14ac:dyDescent="0.25">
      <c r="B38" s="8"/>
      <c r="C38" s="68">
        <f>SUM(C18:C36)</f>
        <v>7186456.4999999991</v>
      </c>
      <c r="D38" s="69">
        <f>SUM(D18:D36)</f>
        <v>597018.39</v>
      </c>
      <c r="E38" s="72">
        <f>SUM(E18:E36)</f>
        <v>6589438.1100000013</v>
      </c>
      <c r="F38" s="23"/>
      <c r="G38" s="73" t="s">
        <v>16</v>
      </c>
      <c r="H38" s="74" t="s">
        <v>0</v>
      </c>
      <c r="I38" s="23"/>
      <c r="J38" s="68">
        <f>SUM(J18:J36)</f>
        <v>46209088.100000001</v>
      </c>
      <c r="K38" s="69">
        <f>SUM(K18:K36)</f>
        <v>3745575.51</v>
      </c>
      <c r="L38" s="72">
        <f>SUM(L18:L36)</f>
        <v>42463512.590000011</v>
      </c>
      <c r="M38" s="23"/>
      <c r="N38" s="71">
        <f>SUM(N18:N36)</f>
        <v>8960779.5500000007</v>
      </c>
      <c r="O38" s="23"/>
      <c r="P38" s="68">
        <f>SUM(P18:P36)</f>
        <v>0</v>
      </c>
      <c r="Q38" s="69">
        <f>J38-P38</f>
        <v>46209088.100000001</v>
      </c>
      <c r="R38" s="70">
        <f>IFERROR(Q38/P38*100, 0)</f>
        <v>0</v>
      </c>
      <c r="S38" s="4"/>
    </row>
    <row r="39" spans="2:19" s="6" customFormat="1" ht="7.5" customHeight="1" x14ac:dyDescent="0.25">
      <c r="B39" s="5"/>
      <c r="C39" s="23"/>
      <c r="D39" s="23"/>
      <c r="E39" s="23"/>
      <c r="F39" s="23"/>
      <c r="G39" s="24"/>
      <c r="H39" s="24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5"/>
    </row>
    <row r="40" spans="2:19" s="3" customFormat="1" ht="19.5" customHeight="1" x14ac:dyDescent="0.25">
      <c r="B40" s="8"/>
      <c r="C40" s="68">
        <f>C16-C38</f>
        <v>3392104.8299999991</v>
      </c>
      <c r="D40" s="69">
        <f>D16-D38</f>
        <v>481424.30999999994</v>
      </c>
      <c r="E40" s="72">
        <f>E16-E38</f>
        <v>2910680.5199999977</v>
      </c>
      <c r="F40" s="23"/>
      <c r="G40" s="73" t="s">
        <v>16</v>
      </c>
      <c r="H40" s="74" t="s">
        <v>2</v>
      </c>
      <c r="I40" s="23"/>
      <c r="J40" s="68">
        <f>J16-J38</f>
        <v>-7864606.8100000024</v>
      </c>
      <c r="K40" s="69">
        <f>K16-K38</f>
        <v>3741344.0200000005</v>
      </c>
      <c r="L40" s="72">
        <f>L16-L38</f>
        <v>-11605950.830000006</v>
      </c>
      <c r="M40" s="23"/>
      <c r="N40" s="71">
        <f>N16-N38</f>
        <v>9876586.4400000013</v>
      </c>
      <c r="O40" s="23"/>
      <c r="P40" s="68">
        <f>P16-P38</f>
        <v>684043.91</v>
      </c>
      <c r="Q40" s="69">
        <f>J40-P40</f>
        <v>-8548650.7200000025</v>
      </c>
      <c r="R40" s="70">
        <f>IFERROR(Q40/P40*100, 0)</f>
        <v>-1249.7225097728012</v>
      </c>
      <c r="S40" s="4"/>
    </row>
    <row r="41" spans="2:19" s="6" customFormat="1" ht="9" customHeight="1" x14ac:dyDescent="0.25">
      <c r="B41" s="5"/>
      <c r="C41" s="23"/>
      <c r="D41" s="23"/>
      <c r="E41" s="23"/>
      <c r="F41" s="23"/>
      <c r="G41" s="24"/>
      <c r="H41" s="24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5"/>
    </row>
    <row r="42" spans="2:19" s="6" customFormat="1" ht="21" customHeight="1" x14ac:dyDescent="0.25">
      <c r="B42" s="7"/>
      <c r="C42" s="27">
        <f>_xll.NSGLABAL($E$5,$G42,E$1,E$2)</f>
        <v>195000</v>
      </c>
      <c r="D42" s="28">
        <f>_xll.NSGLABUD($E$5,$C$5,$G42,E$1,E$2)</f>
        <v>16500</v>
      </c>
      <c r="E42" s="29">
        <f t="shared" ref="E42:E87" si="8">C42-D42</f>
        <v>178500</v>
      </c>
      <c r="F42" s="25"/>
      <c r="G42" s="35" t="str">
        <f>IF(TRUE,"6010","LI(0,0)")</f>
        <v>6010</v>
      </c>
      <c r="H42" s="36" t="str">
        <f>IF(TRUE,"Advertising","LI(0,1)")</f>
        <v>Advertising</v>
      </c>
      <c r="I42" s="25"/>
      <c r="J42" s="27">
        <f>_xll.NSGLABAL($E$5,$G42,J$1,J$2)</f>
        <v>631461.15</v>
      </c>
      <c r="K42" s="28">
        <f>_xll.NSGLABUD($E$5,$C$5,$G42,J$1,J$2)</f>
        <v>66000</v>
      </c>
      <c r="L42" s="29">
        <f t="shared" ref="L42:L87" si="9">J42-K42</f>
        <v>565461.15</v>
      </c>
      <c r="M42" s="25"/>
      <c r="N42" s="41">
        <f>_xll.NSGLABUD($E$5,$C$5,$G42,N$1,N$2)</f>
        <v>350000</v>
      </c>
      <c r="O42" s="25"/>
      <c r="P42" s="27">
        <f>_xll.NSGLABAL($E$5,$G42,P$1,P$2)</f>
        <v>0</v>
      </c>
      <c r="Q42" s="28">
        <f t="shared" ref="Q42:Q87" si="10">J42-P42</f>
        <v>631461.15</v>
      </c>
      <c r="R42" s="44">
        <f t="shared" ref="R42:R87" si="11">IFERROR(Q42/P42*100, 0)</f>
        <v>0</v>
      </c>
    </row>
    <row r="43" spans="2:19" s="6" customFormat="1" ht="21" customHeight="1" x14ac:dyDescent="0.25">
      <c r="B43" s="7"/>
      <c r="C43" s="30">
        <f>_xll.NSGLABAL($E$5,$G43,E$1,E$2)</f>
        <v>0</v>
      </c>
      <c r="D43" s="23">
        <f>_xll.NSGLABUD($E$5,$C$5,$G43,E$1,E$2)</f>
        <v>0</v>
      </c>
      <c r="E43" s="31">
        <f t="shared" si="8"/>
        <v>0</v>
      </c>
      <c r="F43" s="25"/>
      <c r="G43" s="37" t="str">
        <f>IF(TRUE,"6015","LI(1,0)")</f>
        <v>6015</v>
      </c>
      <c r="H43" s="38" t="str">
        <f>IF(TRUE,"Amortization Expense","LI(1,1)")</f>
        <v>Amortization Expense</v>
      </c>
      <c r="I43" s="25"/>
      <c r="J43" s="30">
        <f>_xll.NSGLABAL($E$5,$G43,J$1,J$2)</f>
        <v>0</v>
      </c>
      <c r="K43" s="23">
        <f>_xll.NSGLABUD($E$5,$C$5,$G43,J$1,J$2)</f>
        <v>0</v>
      </c>
      <c r="L43" s="31">
        <f t="shared" si="9"/>
        <v>0</v>
      </c>
      <c r="M43" s="25"/>
      <c r="N43" s="42">
        <f>_xll.NSGLABUD($E$5,$C$5,$G43,N$1,N$2)</f>
        <v>50000</v>
      </c>
      <c r="O43" s="25"/>
      <c r="P43" s="30">
        <f>_xll.NSGLABAL($E$5,$G43,P$1,P$2)</f>
        <v>0</v>
      </c>
      <c r="Q43" s="23">
        <f t="shared" si="10"/>
        <v>0</v>
      </c>
      <c r="R43" s="45">
        <f t="shared" si="11"/>
        <v>0</v>
      </c>
    </row>
    <row r="44" spans="2:19" s="6" customFormat="1" ht="21" customHeight="1" x14ac:dyDescent="0.25">
      <c r="B44" s="7"/>
      <c r="C44" s="30">
        <f>_xll.NSGLABAL($E$5,$G44,E$1,E$2)</f>
        <v>12091.42</v>
      </c>
      <c r="D44" s="23">
        <f>_xll.NSGLABUD($E$5,$C$5,$G44,E$1,E$2)</f>
        <v>18225.240000000002</v>
      </c>
      <c r="E44" s="31">
        <f t="shared" si="8"/>
        <v>-6133.8200000000015</v>
      </c>
      <c r="F44" s="25"/>
      <c r="G44" s="37" t="str">
        <f>IF(TRUE,"6017","LI(2,0)")</f>
        <v>6017</v>
      </c>
      <c r="H44" s="38" t="str">
        <f>IF(TRUE,"Duty Expense","LI(2,1)")</f>
        <v>Duty Expense</v>
      </c>
      <c r="I44" s="25"/>
      <c r="J44" s="30">
        <f>_xll.NSGLABAL($E$5,$G44,J$1,J$2)</f>
        <v>83993.45</v>
      </c>
      <c r="K44" s="23">
        <f>_xll.NSGLABUD($E$5,$C$5,$G44,J$1,J$2)</f>
        <v>87363.5</v>
      </c>
      <c r="L44" s="31">
        <f t="shared" si="9"/>
        <v>-3370.0500000000029</v>
      </c>
      <c r="M44" s="25"/>
      <c r="N44" s="42">
        <f>_xll.NSGLABUD($E$5,$C$5,$G44,N$1,N$2)</f>
        <v>145288.6</v>
      </c>
      <c r="O44" s="25"/>
      <c r="P44" s="30">
        <f>_xll.NSGLABAL($E$5,$G44,P$1,P$2)</f>
        <v>0</v>
      </c>
      <c r="Q44" s="23">
        <f t="shared" si="10"/>
        <v>83993.45</v>
      </c>
      <c r="R44" s="45">
        <f t="shared" si="11"/>
        <v>0</v>
      </c>
    </row>
    <row r="45" spans="2:19" s="6" customFormat="1" ht="21" customHeight="1" x14ac:dyDescent="0.25">
      <c r="B45" s="7"/>
      <c r="C45" s="30">
        <f>_xll.NSGLABAL($E$5,$G45,E$1,E$2)</f>
        <v>54685.9</v>
      </c>
      <c r="D45" s="23">
        <f>_xll.NSGLABUD($E$5,$C$5,$G45,E$1,E$2)</f>
        <v>37493.68</v>
      </c>
      <c r="E45" s="31">
        <f t="shared" si="8"/>
        <v>17192.22</v>
      </c>
      <c r="F45" s="25"/>
      <c r="G45" s="37" t="str">
        <f>IF(TRUE,"6018","LI(3,0)")</f>
        <v>6018</v>
      </c>
      <c r="H45" s="38" t="str">
        <f>IF(TRUE,"Freight Expense","LI(3,1)")</f>
        <v>Freight Expense</v>
      </c>
      <c r="I45" s="25"/>
      <c r="J45" s="30">
        <f>_xll.NSGLABAL($E$5,$G45,J$1,J$2)</f>
        <v>273233.44</v>
      </c>
      <c r="K45" s="23">
        <f>_xll.NSGLABUD($E$5,$C$5,$G45,J$1,J$2)</f>
        <v>178577.01</v>
      </c>
      <c r="L45" s="31">
        <f t="shared" si="9"/>
        <v>94656.43</v>
      </c>
      <c r="M45" s="25"/>
      <c r="N45" s="42">
        <f>_xll.NSGLABUD($E$5,$C$5,$G45,N$1,N$2)</f>
        <v>303151.81</v>
      </c>
      <c r="O45" s="25"/>
      <c r="P45" s="30">
        <f>_xll.NSGLABAL($E$5,$G45,P$1,P$2)</f>
        <v>0</v>
      </c>
      <c r="Q45" s="23">
        <f t="shared" si="10"/>
        <v>273233.44</v>
      </c>
      <c r="R45" s="45">
        <f t="shared" si="11"/>
        <v>0</v>
      </c>
    </row>
    <row r="46" spans="2:19" s="6" customFormat="1" ht="21" customHeight="1" x14ac:dyDescent="0.25">
      <c r="B46" s="7"/>
      <c r="C46" s="30">
        <f>_xll.NSGLABAL($E$5,$G46,E$1,E$2)</f>
        <v>8227.0400000000009</v>
      </c>
      <c r="D46" s="23">
        <f>_xll.NSGLABUD($E$5,$C$5,$G46,E$1,E$2)</f>
        <v>1398.68</v>
      </c>
      <c r="E46" s="31">
        <f t="shared" si="8"/>
        <v>6828.3600000000006</v>
      </c>
      <c r="F46" s="25"/>
      <c r="G46" s="37" t="str">
        <f>IF(TRUE,"6020","LI(4,0)")</f>
        <v>6020</v>
      </c>
      <c r="H46" s="38" t="str">
        <f>IF(TRUE,"Automobile Expense","LI(4,1)")</f>
        <v>Automobile Expense</v>
      </c>
      <c r="I46" s="25"/>
      <c r="J46" s="30">
        <f>_xll.NSGLABAL($E$5,$G46,J$1,J$2)</f>
        <v>29103.7</v>
      </c>
      <c r="K46" s="23">
        <f>_xll.NSGLABUD($E$5,$C$5,$G46,J$1,J$2)</f>
        <v>5391.69</v>
      </c>
      <c r="L46" s="31">
        <f t="shared" si="9"/>
        <v>23712.010000000002</v>
      </c>
      <c r="M46" s="25"/>
      <c r="N46" s="42">
        <f>_xll.NSGLABUD($E$5,$C$5,$G46,N$1,N$2)</f>
        <v>16154.92</v>
      </c>
      <c r="O46" s="25"/>
      <c r="P46" s="30">
        <f>_xll.NSGLABAL($E$5,$G46,P$1,P$2)</f>
        <v>0</v>
      </c>
      <c r="Q46" s="23">
        <f t="shared" si="10"/>
        <v>29103.7</v>
      </c>
      <c r="R46" s="45">
        <f t="shared" si="11"/>
        <v>0</v>
      </c>
    </row>
    <row r="47" spans="2:19" s="6" customFormat="1" ht="21" customHeight="1" x14ac:dyDescent="0.25">
      <c r="B47" s="7"/>
      <c r="C47" s="30">
        <f>_xll.NSGLABAL($E$5,$G47,E$1,E$2)</f>
        <v>74710.06</v>
      </c>
      <c r="D47" s="23">
        <f>_xll.NSGLABUD($E$5,$C$5,$G47,E$1,E$2)</f>
        <v>4818.38</v>
      </c>
      <c r="E47" s="31">
        <f t="shared" si="8"/>
        <v>69891.679999999993</v>
      </c>
      <c r="F47" s="25"/>
      <c r="G47" s="37" t="str">
        <f>IF(TRUE,"6022","LI(5,0)")</f>
        <v>6022</v>
      </c>
      <c r="H47" s="38" t="str">
        <f>IF(TRUE,"Gas &amp; Oil","LI(5,1)")</f>
        <v>Gas &amp; Oil</v>
      </c>
      <c r="I47" s="25"/>
      <c r="J47" s="30">
        <f>_xll.NSGLABAL($E$5,$G47,J$1,J$2)</f>
        <v>332275.25</v>
      </c>
      <c r="K47" s="23">
        <f>_xll.NSGLABUD($E$5,$C$5,$G47,J$1,J$2)</f>
        <v>25023.5</v>
      </c>
      <c r="L47" s="31">
        <f t="shared" si="9"/>
        <v>307251.75</v>
      </c>
      <c r="M47" s="25"/>
      <c r="N47" s="42">
        <f>_xll.NSGLABUD($E$5,$C$5,$G47,N$1,N$2)</f>
        <v>59775.14</v>
      </c>
      <c r="O47" s="25"/>
      <c r="P47" s="30">
        <f>_xll.NSGLABAL($E$5,$G47,P$1,P$2)</f>
        <v>0</v>
      </c>
      <c r="Q47" s="23">
        <f t="shared" si="10"/>
        <v>332275.25</v>
      </c>
      <c r="R47" s="45">
        <f t="shared" si="11"/>
        <v>0</v>
      </c>
    </row>
    <row r="48" spans="2:19" s="6" customFormat="1" ht="21" customHeight="1" x14ac:dyDescent="0.25">
      <c r="B48" s="7"/>
      <c r="C48" s="30">
        <f>_xll.NSGLABAL($E$5,$G48,E$1,E$2)</f>
        <v>0</v>
      </c>
      <c r="D48" s="23">
        <f>_xll.NSGLABUD($E$5,$C$5,$G48,E$1,E$2)</f>
        <v>0</v>
      </c>
      <c r="E48" s="31">
        <f t="shared" si="8"/>
        <v>0</v>
      </c>
      <c r="F48" s="25"/>
      <c r="G48" s="37" t="str">
        <f>IF(TRUE,"6024","LI(6,0)")</f>
        <v>6024</v>
      </c>
      <c r="H48" s="38" t="str">
        <f>IF(TRUE,"Repairs","LI(6,1)")</f>
        <v>Repairs</v>
      </c>
      <c r="I48" s="25"/>
      <c r="J48" s="30">
        <f>_xll.NSGLABAL($E$5,$G48,J$1,J$2)</f>
        <v>7456.34</v>
      </c>
      <c r="K48" s="23">
        <f>_xll.NSGLABUD($E$5,$C$5,$G48,J$1,J$2)</f>
        <v>5000</v>
      </c>
      <c r="L48" s="31">
        <f t="shared" si="9"/>
        <v>2456.34</v>
      </c>
      <c r="M48" s="25"/>
      <c r="N48" s="42">
        <f>_xll.NSGLABUD($E$5,$C$5,$G48,N$1,N$2)</f>
        <v>20000</v>
      </c>
      <c r="O48" s="25"/>
      <c r="P48" s="30">
        <f>_xll.NSGLABAL($E$5,$G48,P$1,P$2)</f>
        <v>0</v>
      </c>
      <c r="Q48" s="23">
        <f t="shared" si="10"/>
        <v>7456.34</v>
      </c>
      <c r="R48" s="45">
        <f t="shared" si="11"/>
        <v>0</v>
      </c>
    </row>
    <row r="49" spans="2:18" s="6" customFormat="1" ht="21" customHeight="1" x14ac:dyDescent="0.25">
      <c r="B49" s="7"/>
      <c r="C49" s="30">
        <f>_xll.NSGLABAL($E$5,$G49,E$1,E$2)</f>
        <v>850000</v>
      </c>
      <c r="D49" s="23">
        <f>_xll.NSGLABUD($E$5,$C$5,$G49,E$1,E$2)</f>
        <v>85000</v>
      </c>
      <c r="E49" s="31">
        <f t="shared" si="8"/>
        <v>765000</v>
      </c>
      <c r="F49" s="25"/>
      <c r="G49" s="37" t="str">
        <f>IF(TRUE,"6030","LI(7,0)")</f>
        <v>6030</v>
      </c>
      <c r="H49" s="38" t="str">
        <f>IF(TRUE,"Bad Debt Expense","LI(7,1)")</f>
        <v>Bad Debt Expense</v>
      </c>
      <c r="I49" s="25"/>
      <c r="J49" s="30">
        <f>_xll.NSGLABAL($E$5,$G49,J$1,J$2)</f>
        <v>1604500</v>
      </c>
      <c r="K49" s="23">
        <f>_xll.NSGLABUD($E$5,$C$5,$G49,J$1,J$2)</f>
        <v>160000</v>
      </c>
      <c r="L49" s="31">
        <f t="shared" si="9"/>
        <v>1444500</v>
      </c>
      <c r="M49" s="25"/>
      <c r="N49" s="42">
        <f>_xll.NSGLABUD($E$5,$C$5,$G49,N$1,N$2)</f>
        <v>550000</v>
      </c>
      <c r="O49" s="25"/>
      <c r="P49" s="30">
        <f>_xll.NSGLABAL($E$5,$G49,P$1,P$2)</f>
        <v>0</v>
      </c>
      <c r="Q49" s="23">
        <f t="shared" si="10"/>
        <v>1604500</v>
      </c>
      <c r="R49" s="45">
        <f t="shared" si="11"/>
        <v>0</v>
      </c>
    </row>
    <row r="50" spans="2:18" s="6" customFormat="1" ht="21" customHeight="1" x14ac:dyDescent="0.25">
      <c r="B50" s="7"/>
      <c r="C50" s="30">
        <f>_xll.NSGLABAL($E$5,$G50,E$1,E$2)</f>
        <v>7418.27</v>
      </c>
      <c r="D50" s="23">
        <f>_xll.NSGLABUD($E$5,$C$5,$G50,E$1,E$2)</f>
        <v>626.74</v>
      </c>
      <c r="E50" s="31">
        <f t="shared" si="8"/>
        <v>6791.5300000000007</v>
      </c>
      <c r="F50" s="25"/>
      <c r="G50" s="37" t="str">
        <f>IF(TRUE,"6040","LI(8,0)")</f>
        <v>6040</v>
      </c>
      <c r="H50" s="38" t="str">
        <f>IF(TRUE,"Bank Service Charges","LI(8,1)")</f>
        <v>Bank Service Charges</v>
      </c>
      <c r="I50" s="25"/>
      <c r="J50" s="30">
        <f>_xll.NSGLABAL($E$5,$G50,J$1,J$2)</f>
        <v>28454.77</v>
      </c>
      <c r="K50" s="23">
        <f>_xll.NSGLABUD($E$5,$C$5,$G50,J$1,J$2)</f>
        <v>2466.37</v>
      </c>
      <c r="L50" s="31">
        <f t="shared" si="9"/>
        <v>25988.400000000001</v>
      </c>
      <c r="M50" s="25"/>
      <c r="N50" s="42">
        <f>_xll.NSGLABUD($E$5,$C$5,$G50,N$1,N$2)</f>
        <v>10895.05</v>
      </c>
      <c r="O50" s="25"/>
      <c r="P50" s="30">
        <f>_xll.NSGLABAL($E$5,$G50,P$1,P$2)</f>
        <v>0</v>
      </c>
      <c r="Q50" s="23">
        <f t="shared" si="10"/>
        <v>28454.77</v>
      </c>
      <c r="R50" s="45">
        <f t="shared" si="11"/>
        <v>0</v>
      </c>
    </row>
    <row r="51" spans="2:18" s="6" customFormat="1" ht="21" hidden="1" customHeight="1" x14ac:dyDescent="0.25">
      <c r="B51" s="7"/>
      <c r="C51" s="30">
        <f>_xll.NSGLABAL($E$5,$G51,E$1,E$2)</f>
        <v>0</v>
      </c>
      <c r="D51" s="23">
        <f>_xll.NSGLABUD($E$5,$C$5,$G51,E$1,E$2)</f>
        <v>0</v>
      </c>
      <c r="E51" s="31">
        <f t="shared" si="8"/>
        <v>0</v>
      </c>
      <c r="F51" s="25"/>
      <c r="G51" s="37" t="str">
        <f>IF(TRUE,"6050","LI(9,0)")</f>
        <v>6050</v>
      </c>
      <c r="H51" s="38" t="str">
        <f>IF(TRUE,"Contributions","LI(9,1)")</f>
        <v>Contributions</v>
      </c>
      <c r="I51" s="25"/>
      <c r="J51" s="30">
        <f>_xll.NSGLABAL($E$5,$G51,J$1,J$2)</f>
        <v>0</v>
      </c>
      <c r="K51" s="23">
        <f>_xll.NSGLABUD($E$5,$C$5,$G51,J$1,J$2)</f>
        <v>0</v>
      </c>
      <c r="L51" s="31">
        <f t="shared" si="9"/>
        <v>0</v>
      </c>
      <c r="M51" s="25"/>
      <c r="N51" s="42">
        <f>_xll.NSGLABUD($E$5,$C$5,$G51,N$1,N$2)</f>
        <v>0</v>
      </c>
      <c r="O51" s="25"/>
      <c r="P51" s="30">
        <f>_xll.NSGLABAL($E$5,$G51,P$1,P$2)</f>
        <v>0</v>
      </c>
      <c r="Q51" s="23">
        <f t="shared" si="10"/>
        <v>0</v>
      </c>
      <c r="R51" s="45">
        <f t="shared" si="11"/>
        <v>0</v>
      </c>
    </row>
    <row r="52" spans="2:18" s="6" customFormat="1" ht="21" customHeight="1" x14ac:dyDescent="0.25">
      <c r="B52" s="7"/>
      <c r="C52" s="30">
        <f>_xll.NSGLABAL($E$5,$G52,E$1,E$2)</f>
        <v>936735.74</v>
      </c>
      <c r="D52" s="23">
        <f>_xll.NSGLABUD($E$5,$C$5,$G52,E$1,E$2)</f>
        <v>94842.72</v>
      </c>
      <c r="E52" s="31">
        <f t="shared" si="8"/>
        <v>841893.02</v>
      </c>
      <c r="F52" s="25"/>
      <c r="G52" s="37" t="str">
        <f>IF(TRUE,"6060","LI(10,0)")</f>
        <v>6060</v>
      </c>
      <c r="H52" s="38" t="str">
        <f>IF(TRUE,"Depreciation Expense","LI(10,1)")</f>
        <v>Depreciation Expense</v>
      </c>
      <c r="I52" s="25"/>
      <c r="J52" s="30">
        <f>_xll.NSGLABAL($E$5,$G52,J$1,J$2)</f>
        <v>2962522.11</v>
      </c>
      <c r="K52" s="23">
        <f>_xll.NSGLABUD($E$5,$C$5,$G52,J$1,J$2)</f>
        <v>379370.88</v>
      </c>
      <c r="L52" s="31">
        <f t="shared" si="9"/>
        <v>2583151.23</v>
      </c>
      <c r="M52" s="25"/>
      <c r="N52" s="42">
        <f>_xll.NSGLABUD($E$5,$C$5,$G52,N$1,N$2)</f>
        <v>1138112.6399999999</v>
      </c>
      <c r="O52" s="25"/>
      <c r="P52" s="30">
        <f>_xll.NSGLABAL($E$5,$G52,P$1,P$2)</f>
        <v>66567.92</v>
      </c>
      <c r="Q52" s="23">
        <f t="shared" si="10"/>
        <v>2895954.19</v>
      </c>
      <c r="R52" s="45">
        <f t="shared" si="11"/>
        <v>4350.3750605396708</v>
      </c>
    </row>
    <row r="53" spans="2:18" s="6" customFormat="1" ht="21" customHeight="1" x14ac:dyDescent="0.25">
      <c r="B53" s="7"/>
      <c r="C53" s="30">
        <f>_xll.NSGLABAL($E$5,$G53,E$1,E$2)</f>
        <v>1100</v>
      </c>
      <c r="D53" s="23">
        <f>_xll.NSGLABUD($E$5,$C$5,$G53,E$1,E$2)</f>
        <v>100</v>
      </c>
      <c r="E53" s="31">
        <f t="shared" si="8"/>
        <v>1000</v>
      </c>
      <c r="F53" s="25"/>
      <c r="G53" s="37" t="str">
        <f>IF(TRUE,"6070","LI(11,0)")</f>
        <v>6070</v>
      </c>
      <c r="H53" s="38" t="str">
        <f>IF(TRUE,"Dues &amp; Subscriptions","LI(11,1)")</f>
        <v>Dues &amp; Subscriptions</v>
      </c>
      <c r="I53" s="25"/>
      <c r="J53" s="30">
        <f>_xll.NSGLABAL($E$5,$G53,J$1,J$2)</f>
        <v>4400</v>
      </c>
      <c r="K53" s="23">
        <f>_xll.NSGLABUD($E$5,$C$5,$G53,J$1,J$2)</f>
        <v>400</v>
      </c>
      <c r="L53" s="31">
        <f t="shared" si="9"/>
        <v>4000</v>
      </c>
      <c r="M53" s="25"/>
      <c r="N53" s="42">
        <f>_xll.NSGLABUD($E$5,$C$5,$G53,N$1,N$2)</f>
        <v>1200</v>
      </c>
      <c r="O53" s="25"/>
      <c r="P53" s="30">
        <f>_xll.NSGLABAL($E$5,$G53,P$1,P$2)</f>
        <v>0</v>
      </c>
      <c r="Q53" s="23">
        <f t="shared" si="10"/>
        <v>4400</v>
      </c>
      <c r="R53" s="45">
        <f t="shared" si="11"/>
        <v>0</v>
      </c>
    </row>
    <row r="54" spans="2:18" s="6" customFormat="1" ht="21" customHeight="1" x14ac:dyDescent="0.25">
      <c r="B54" s="7"/>
      <c r="C54" s="30">
        <f>_xll.NSGLABAL($E$5,$G54,E$1,E$2)</f>
        <v>36647.18</v>
      </c>
      <c r="D54" s="23">
        <f>_xll.NSGLABUD($E$5,$C$5,$G54,E$1,E$2)</f>
        <v>3039.29</v>
      </c>
      <c r="E54" s="31">
        <f t="shared" si="8"/>
        <v>33607.89</v>
      </c>
      <c r="F54" s="25"/>
      <c r="G54" s="37" t="str">
        <f>IF(TRUE,"6080","LI(12,0)")</f>
        <v>6080</v>
      </c>
      <c r="H54" s="38" t="str">
        <f>IF(TRUE,"Equipment Rental","LI(12,1)")</f>
        <v>Equipment Rental</v>
      </c>
      <c r="I54" s="25"/>
      <c r="J54" s="30">
        <f>_xll.NSGLABAL($E$5,$G54,J$1,J$2)</f>
        <v>138263.69</v>
      </c>
      <c r="K54" s="23">
        <f>_xll.NSGLABUD($E$5,$C$5,$G54,J$1,J$2)</f>
        <v>11730.74</v>
      </c>
      <c r="L54" s="31">
        <f t="shared" si="9"/>
        <v>126532.95</v>
      </c>
      <c r="M54" s="25"/>
      <c r="N54" s="42">
        <f>_xll.NSGLABUD($E$5,$C$5,$G54,N$1,N$2)</f>
        <v>44329.81</v>
      </c>
      <c r="O54" s="25"/>
      <c r="P54" s="30">
        <f>_xll.NSGLABAL($E$5,$G54,P$1,P$2)</f>
        <v>0</v>
      </c>
      <c r="Q54" s="23">
        <f t="shared" si="10"/>
        <v>138263.69</v>
      </c>
      <c r="R54" s="45">
        <f t="shared" si="11"/>
        <v>0</v>
      </c>
    </row>
    <row r="55" spans="2:18" s="6" customFormat="1" ht="21" hidden="1" customHeight="1" x14ac:dyDescent="0.25">
      <c r="B55" s="7"/>
      <c r="C55" s="30">
        <f>_xll.NSGLABAL($E$5,$G55,E$1,E$2)</f>
        <v>0</v>
      </c>
      <c r="D55" s="23">
        <f>_xll.NSGLABUD($E$5,$C$5,$G55,E$1,E$2)</f>
        <v>0</v>
      </c>
      <c r="E55" s="31">
        <f t="shared" si="8"/>
        <v>0</v>
      </c>
      <c r="F55" s="25"/>
      <c r="G55" s="37" t="str">
        <f>IF(TRUE,"6085","LI(13,0)")</f>
        <v>6085</v>
      </c>
      <c r="H55" s="38" t="str">
        <f>IF(TRUE,"Furniture &amp; Fixtures Expense","LI(13,1)")</f>
        <v>Furniture &amp; Fixtures Expense</v>
      </c>
      <c r="I55" s="25"/>
      <c r="J55" s="30">
        <f>_xll.NSGLABAL($E$5,$G55,J$1,J$2)</f>
        <v>0</v>
      </c>
      <c r="K55" s="23">
        <f>_xll.NSGLABUD($E$5,$C$5,$G55,J$1,J$2)</f>
        <v>0</v>
      </c>
      <c r="L55" s="31">
        <f t="shared" si="9"/>
        <v>0</v>
      </c>
      <c r="M55" s="25"/>
      <c r="N55" s="42">
        <f>_xll.NSGLABUD($E$5,$C$5,$G55,N$1,N$2)</f>
        <v>0</v>
      </c>
      <c r="O55" s="25"/>
      <c r="P55" s="30">
        <f>_xll.NSGLABAL($E$5,$G55,P$1,P$2)</f>
        <v>0</v>
      </c>
      <c r="Q55" s="23">
        <f t="shared" si="10"/>
        <v>0</v>
      </c>
      <c r="R55" s="45">
        <f t="shared" si="11"/>
        <v>0</v>
      </c>
    </row>
    <row r="56" spans="2:18" s="6" customFormat="1" ht="21" customHeight="1" x14ac:dyDescent="0.25">
      <c r="B56" s="7"/>
      <c r="C56" s="30">
        <f>_xll.NSGLABAL($E$5,$G56,E$1,E$2)</f>
        <v>0</v>
      </c>
      <c r="D56" s="23">
        <f>_xll.NSGLABUD($E$5,$C$5,$G56,E$1,E$2)</f>
        <v>500</v>
      </c>
      <c r="E56" s="31">
        <f t="shared" si="8"/>
        <v>-500</v>
      </c>
      <c r="F56" s="25"/>
      <c r="G56" s="37" t="str">
        <f>IF(TRUE,"6090","LI(14,0)")</f>
        <v>6090</v>
      </c>
      <c r="H56" s="38" t="str">
        <f>IF(TRUE,"Freight &amp; Delivery","LI(14,1)")</f>
        <v>Freight &amp; Delivery</v>
      </c>
      <c r="I56" s="25"/>
      <c r="J56" s="30">
        <f>_xll.NSGLABAL($E$5,$G56,J$1,J$2)</f>
        <v>5115</v>
      </c>
      <c r="K56" s="23">
        <f>_xll.NSGLABUD($E$5,$C$5,$G56,J$1,J$2)</f>
        <v>2000</v>
      </c>
      <c r="L56" s="31">
        <f t="shared" si="9"/>
        <v>3115</v>
      </c>
      <c r="M56" s="25"/>
      <c r="N56" s="42">
        <f>_xll.NSGLABUD($E$5,$C$5,$G56,N$1,N$2)</f>
        <v>6000</v>
      </c>
      <c r="O56" s="25"/>
      <c r="P56" s="30">
        <f>_xll.NSGLABAL($E$5,$G56,P$1,P$2)</f>
        <v>0</v>
      </c>
      <c r="Q56" s="23">
        <f t="shared" si="10"/>
        <v>5115</v>
      </c>
      <c r="R56" s="45">
        <f t="shared" si="11"/>
        <v>0</v>
      </c>
    </row>
    <row r="57" spans="2:18" s="6" customFormat="1" ht="21" customHeight="1" x14ac:dyDescent="0.25">
      <c r="B57" s="7"/>
      <c r="C57" s="30">
        <f>_xll.NSGLABAL($E$5,$G57,E$1,E$2)</f>
        <v>0</v>
      </c>
      <c r="D57" s="23">
        <f>_xll.NSGLABUD($E$5,$C$5,$G57,E$1,E$2)</f>
        <v>1000</v>
      </c>
      <c r="E57" s="31">
        <f t="shared" si="8"/>
        <v>-1000</v>
      </c>
      <c r="F57" s="25"/>
      <c r="G57" s="37" t="str">
        <f>IF(TRUE,"6100","LI(15,0)")</f>
        <v>6100</v>
      </c>
      <c r="H57" s="38" t="str">
        <f>IF(TRUE,"Insurance Expense","LI(15,1)")</f>
        <v>Insurance Expense</v>
      </c>
      <c r="I57" s="25"/>
      <c r="J57" s="30">
        <f>_xll.NSGLABAL($E$5,$G57,J$1,J$2)</f>
        <v>4687.5</v>
      </c>
      <c r="K57" s="23">
        <f>_xll.NSGLABUD($E$5,$C$5,$G57,J$1,J$2)</f>
        <v>4000</v>
      </c>
      <c r="L57" s="31">
        <f t="shared" si="9"/>
        <v>687.5</v>
      </c>
      <c r="M57" s="25"/>
      <c r="N57" s="42">
        <f>_xll.NSGLABUD($E$5,$C$5,$G57,N$1,N$2)</f>
        <v>12000</v>
      </c>
      <c r="O57" s="25"/>
      <c r="P57" s="30">
        <f>_xll.NSGLABAL($E$5,$G57,P$1,P$2)</f>
        <v>0</v>
      </c>
      <c r="Q57" s="23">
        <f t="shared" si="10"/>
        <v>4687.5</v>
      </c>
      <c r="R57" s="45">
        <f t="shared" si="11"/>
        <v>0</v>
      </c>
    </row>
    <row r="58" spans="2:18" s="6" customFormat="1" ht="21" hidden="1" customHeight="1" x14ac:dyDescent="0.25">
      <c r="B58" s="7"/>
      <c r="C58" s="30">
        <f>_xll.NSGLABAL($E$5,$G58,E$1,E$2)</f>
        <v>0</v>
      </c>
      <c r="D58" s="23">
        <f>_xll.NSGLABUD($E$5,$C$5,$G58,E$1,E$2)</f>
        <v>0</v>
      </c>
      <c r="E58" s="31">
        <f t="shared" si="8"/>
        <v>0</v>
      </c>
      <c r="F58" s="25"/>
      <c r="G58" s="37" t="str">
        <f>IF(TRUE,"6102","LI(16,0)")</f>
        <v>6102</v>
      </c>
      <c r="H58" s="38" t="str">
        <f>IF(TRUE,"Liability","LI(16,1)")</f>
        <v>Liability</v>
      </c>
      <c r="I58" s="25"/>
      <c r="J58" s="30">
        <f>_xll.NSGLABAL($E$5,$G58,J$1,J$2)</f>
        <v>0</v>
      </c>
      <c r="K58" s="23">
        <f>_xll.NSGLABUD($E$5,$C$5,$G58,J$1,J$2)</f>
        <v>0</v>
      </c>
      <c r="L58" s="31">
        <f t="shared" si="9"/>
        <v>0</v>
      </c>
      <c r="M58" s="25"/>
      <c r="N58" s="42">
        <f>_xll.NSGLABUD($E$5,$C$5,$G58,N$1,N$2)</f>
        <v>0</v>
      </c>
      <c r="O58" s="25"/>
      <c r="P58" s="30">
        <f>_xll.NSGLABAL($E$5,$G58,P$1,P$2)</f>
        <v>0</v>
      </c>
      <c r="Q58" s="23">
        <f t="shared" si="10"/>
        <v>0</v>
      </c>
      <c r="R58" s="45">
        <f t="shared" si="11"/>
        <v>0</v>
      </c>
    </row>
    <row r="59" spans="2:18" s="6" customFormat="1" ht="21" hidden="1" customHeight="1" x14ac:dyDescent="0.25">
      <c r="B59" s="7"/>
      <c r="C59" s="30">
        <f>_xll.NSGLABAL($E$5,$G59,E$1,E$2)</f>
        <v>0</v>
      </c>
      <c r="D59" s="23">
        <f>_xll.NSGLABUD($E$5,$C$5,$G59,E$1,E$2)</f>
        <v>0</v>
      </c>
      <c r="E59" s="31">
        <f t="shared" si="8"/>
        <v>0</v>
      </c>
      <c r="F59" s="25"/>
      <c r="G59" s="37" t="str">
        <f>IF(TRUE,"6104","LI(17,0)")</f>
        <v>6104</v>
      </c>
      <c r="H59" s="38" t="str">
        <f>IF(TRUE,"Workers' compensation","LI(17,1)")</f>
        <v>Workers' compensation</v>
      </c>
      <c r="I59" s="25"/>
      <c r="J59" s="30">
        <f>_xll.NSGLABAL($E$5,$G59,J$1,J$2)</f>
        <v>0</v>
      </c>
      <c r="K59" s="23">
        <f>_xll.NSGLABUD($E$5,$C$5,$G59,J$1,J$2)</f>
        <v>0</v>
      </c>
      <c r="L59" s="31">
        <f t="shared" si="9"/>
        <v>0</v>
      </c>
      <c r="M59" s="25"/>
      <c r="N59" s="42">
        <f>_xll.NSGLABUD($E$5,$C$5,$G59,N$1,N$2)</f>
        <v>0</v>
      </c>
      <c r="O59" s="25"/>
      <c r="P59" s="30">
        <f>_xll.NSGLABAL($E$5,$G59,P$1,P$2)</f>
        <v>0</v>
      </c>
      <c r="Q59" s="23">
        <f t="shared" si="10"/>
        <v>0</v>
      </c>
      <c r="R59" s="45">
        <f t="shared" si="11"/>
        <v>0</v>
      </c>
    </row>
    <row r="60" spans="2:18" s="6" customFormat="1" ht="21" hidden="1" customHeight="1" x14ac:dyDescent="0.25">
      <c r="B60" s="7"/>
      <c r="C60" s="30">
        <f>_xll.NSGLABAL($E$5,$G60,E$1,E$2)</f>
        <v>0</v>
      </c>
      <c r="D60" s="23">
        <f>_xll.NSGLABUD($E$5,$C$5,$G60,E$1,E$2)</f>
        <v>0</v>
      </c>
      <c r="E60" s="31">
        <f t="shared" si="8"/>
        <v>0</v>
      </c>
      <c r="F60" s="25"/>
      <c r="G60" s="37" t="str">
        <f>IF(TRUE,"6106","LI(18,0)")</f>
        <v>6106</v>
      </c>
      <c r="H60" s="38" t="str">
        <f>IF(TRUE,"Disability","LI(18,1)")</f>
        <v>Disability</v>
      </c>
      <c r="I60" s="25"/>
      <c r="J60" s="30">
        <f>_xll.NSGLABAL($E$5,$G60,J$1,J$2)</f>
        <v>0</v>
      </c>
      <c r="K60" s="23">
        <f>_xll.NSGLABUD($E$5,$C$5,$G60,J$1,J$2)</f>
        <v>0</v>
      </c>
      <c r="L60" s="31">
        <f t="shared" si="9"/>
        <v>0</v>
      </c>
      <c r="M60" s="25"/>
      <c r="N60" s="42">
        <f>_xll.NSGLABUD($E$5,$C$5,$G60,N$1,N$2)</f>
        <v>0</v>
      </c>
      <c r="O60" s="25"/>
      <c r="P60" s="30">
        <f>_xll.NSGLABAL($E$5,$G60,P$1,P$2)</f>
        <v>0</v>
      </c>
      <c r="Q60" s="23">
        <f t="shared" si="10"/>
        <v>0</v>
      </c>
      <c r="R60" s="45">
        <f t="shared" si="11"/>
        <v>0</v>
      </c>
    </row>
    <row r="61" spans="2:18" s="6" customFormat="1" ht="21" hidden="1" customHeight="1" x14ac:dyDescent="0.25">
      <c r="B61" s="7"/>
      <c r="C61" s="30">
        <f>_xll.NSGLABAL($E$5,$G61,E$1,E$2)</f>
        <v>0</v>
      </c>
      <c r="D61" s="23">
        <f>_xll.NSGLABUD($E$5,$C$5,$G61,E$1,E$2)</f>
        <v>0</v>
      </c>
      <c r="E61" s="31">
        <f t="shared" si="8"/>
        <v>0</v>
      </c>
      <c r="F61" s="25"/>
      <c r="G61" s="37" t="str">
        <f>IF(TRUE,"6110","LI(19,0)")</f>
        <v>6110</v>
      </c>
      <c r="H61" s="38" t="str">
        <f>IF(TRUE,"Interest Expense","LI(19,1)")</f>
        <v>Interest Expense</v>
      </c>
      <c r="I61" s="25"/>
      <c r="J61" s="30">
        <f>_xll.NSGLABAL($E$5,$G61,J$1,J$2)</f>
        <v>0</v>
      </c>
      <c r="K61" s="23">
        <f>_xll.NSGLABUD($E$5,$C$5,$G61,J$1,J$2)</f>
        <v>0</v>
      </c>
      <c r="L61" s="31">
        <f t="shared" si="9"/>
        <v>0</v>
      </c>
      <c r="M61" s="25"/>
      <c r="N61" s="42">
        <f>_xll.NSGLABUD($E$5,$C$5,$G61,N$1,N$2)</f>
        <v>0</v>
      </c>
      <c r="O61" s="25"/>
      <c r="P61" s="30">
        <f>_xll.NSGLABAL($E$5,$G61,P$1,P$2)</f>
        <v>0</v>
      </c>
      <c r="Q61" s="23">
        <f t="shared" si="10"/>
        <v>0</v>
      </c>
      <c r="R61" s="45">
        <f t="shared" si="11"/>
        <v>0</v>
      </c>
    </row>
    <row r="62" spans="2:18" s="6" customFormat="1" ht="21" customHeight="1" x14ac:dyDescent="0.25">
      <c r="B62" s="7"/>
      <c r="C62" s="30">
        <f>_xll.NSGLABAL($E$5,$G62,E$1,E$2)</f>
        <v>620</v>
      </c>
      <c r="D62" s="23">
        <f>_xll.NSGLABUD($E$5,$C$5,$G62,E$1,E$2)</f>
        <v>1000</v>
      </c>
      <c r="E62" s="31">
        <f t="shared" si="8"/>
        <v>-380</v>
      </c>
      <c r="F62" s="25"/>
      <c r="G62" s="37" t="str">
        <f>IF(TRUE,"6120","LI(20,0)")</f>
        <v>6120</v>
      </c>
      <c r="H62" s="38" t="str">
        <f>IF(TRUE,"Meals &amp; Entertainment","LI(20,1)")</f>
        <v>Meals &amp; Entertainment</v>
      </c>
      <c r="I62" s="25"/>
      <c r="J62" s="30">
        <f>_xll.NSGLABAL($E$5,$G62,J$1,J$2)</f>
        <v>1055</v>
      </c>
      <c r="K62" s="23">
        <f>_xll.NSGLABUD($E$5,$C$5,$G62,J$1,J$2)</f>
        <v>4000</v>
      </c>
      <c r="L62" s="31">
        <f t="shared" si="9"/>
        <v>-2945</v>
      </c>
      <c r="M62" s="25"/>
      <c r="N62" s="42">
        <f>_xll.NSGLABUD($E$5,$C$5,$G62,N$1,N$2)</f>
        <v>12000</v>
      </c>
      <c r="O62" s="25"/>
      <c r="P62" s="30">
        <f>_xll.NSGLABAL($E$5,$G62,P$1,P$2)</f>
        <v>0</v>
      </c>
      <c r="Q62" s="23">
        <f t="shared" si="10"/>
        <v>1055</v>
      </c>
      <c r="R62" s="45">
        <f t="shared" si="11"/>
        <v>0</v>
      </c>
    </row>
    <row r="63" spans="2:18" s="6" customFormat="1" ht="21" customHeight="1" x14ac:dyDescent="0.25">
      <c r="B63" s="7"/>
      <c r="C63" s="30">
        <f>_xll.NSGLABAL($E$5,$G63,E$1,E$2)</f>
        <v>0</v>
      </c>
      <c r="D63" s="23">
        <f>_xll.NSGLABUD($E$5,$C$5,$G63,E$1,E$2)</f>
        <v>0</v>
      </c>
      <c r="E63" s="31">
        <f t="shared" si="8"/>
        <v>0</v>
      </c>
      <c r="F63" s="25"/>
      <c r="G63" s="37" t="str">
        <f>IF(TRUE,"6130","LI(21,0)")</f>
        <v>6130</v>
      </c>
      <c r="H63" s="38" t="str">
        <f>IF(TRUE,"Miscellaneous Expense","LI(21,1)")</f>
        <v>Miscellaneous Expense</v>
      </c>
      <c r="I63" s="25"/>
      <c r="J63" s="30">
        <f>_xll.NSGLABAL($E$5,$G63,J$1,J$2)</f>
        <v>-42442.52</v>
      </c>
      <c r="K63" s="23">
        <f>_xll.NSGLABUD($E$5,$C$5,$G63,J$1,J$2)</f>
        <v>0</v>
      </c>
      <c r="L63" s="31">
        <f t="shared" si="9"/>
        <v>-42442.52</v>
      </c>
      <c r="M63" s="25"/>
      <c r="N63" s="42">
        <f>_xll.NSGLABUD($E$5,$C$5,$G63,N$1,N$2)</f>
        <v>0</v>
      </c>
      <c r="O63" s="25"/>
      <c r="P63" s="30">
        <f>_xll.NSGLABAL($E$5,$G63,P$1,P$2)</f>
        <v>0</v>
      </c>
      <c r="Q63" s="23">
        <f t="shared" si="10"/>
        <v>-42442.52</v>
      </c>
      <c r="R63" s="45">
        <f t="shared" si="11"/>
        <v>0</v>
      </c>
    </row>
    <row r="64" spans="2:18" s="6" customFormat="1" ht="21" customHeight="1" x14ac:dyDescent="0.25">
      <c r="B64" s="7"/>
      <c r="C64" s="30">
        <f>_xll.NSGLABAL($E$5,$G64,E$1,E$2)</f>
        <v>35076.699999999997</v>
      </c>
      <c r="D64" s="23">
        <f>_xll.NSGLABUD($E$5,$C$5,$G64,E$1,E$2)</f>
        <v>4139.46</v>
      </c>
      <c r="E64" s="31">
        <f t="shared" si="8"/>
        <v>30937.239999999998</v>
      </c>
      <c r="F64" s="25"/>
      <c r="G64" s="37" t="str">
        <f>IF(TRUE,"6150","LI(22,0)")</f>
        <v>6150</v>
      </c>
      <c r="H64" s="38" t="str">
        <f>IF(TRUE,"Office Expense","LI(22,1)")</f>
        <v>Office Expense</v>
      </c>
      <c r="I64" s="25"/>
      <c r="J64" s="30">
        <f>_xll.NSGLABAL($E$5,$G64,J$1,J$2)</f>
        <v>159630.07999999999</v>
      </c>
      <c r="K64" s="23">
        <f>_xll.NSGLABUD($E$5,$C$5,$G64,J$1,J$2)</f>
        <v>24737.51</v>
      </c>
      <c r="L64" s="31">
        <f t="shared" si="9"/>
        <v>134892.56999999998</v>
      </c>
      <c r="M64" s="25"/>
      <c r="N64" s="42">
        <f>_xll.NSGLABUD($E$5,$C$5,$G64,N$1,N$2)</f>
        <v>96380.55</v>
      </c>
      <c r="O64" s="25"/>
      <c r="P64" s="30">
        <f>_xll.NSGLABAL($E$5,$G64,P$1,P$2)</f>
        <v>0</v>
      </c>
      <c r="Q64" s="23">
        <f t="shared" si="10"/>
        <v>159630.07999999999</v>
      </c>
      <c r="R64" s="45">
        <f t="shared" si="11"/>
        <v>0</v>
      </c>
    </row>
    <row r="65" spans="2:18" s="6" customFormat="1" ht="21" customHeight="1" x14ac:dyDescent="0.25">
      <c r="B65" s="7"/>
      <c r="C65" s="30">
        <f>_xll.NSGLABAL($E$5,$G65,E$1,E$2)</f>
        <v>57426.77</v>
      </c>
      <c r="D65" s="23">
        <f>_xll.NSGLABUD($E$5,$C$5,$G65,E$1,E$2)</f>
        <v>4009.64</v>
      </c>
      <c r="E65" s="31">
        <f t="shared" si="8"/>
        <v>53417.13</v>
      </c>
      <c r="F65" s="25"/>
      <c r="G65" s="37" t="str">
        <f>IF(TRUE,"6160","LI(23,0)")</f>
        <v>6160</v>
      </c>
      <c r="H65" s="38" t="str">
        <f>IF(TRUE,"Outside Services","LI(23,1)")</f>
        <v>Outside Services</v>
      </c>
      <c r="I65" s="25"/>
      <c r="J65" s="30">
        <f>_xll.NSGLABAL($E$5,$G65,J$1,J$2)</f>
        <v>799249.57</v>
      </c>
      <c r="K65" s="23">
        <f>_xll.NSGLABUD($E$5,$C$5,$G65,J$1,J$2)</f>
        <v>14414.16</v>
      </c>
      <c r="L65" s="31">
        <f t="shared" si="9"/>
        <v>784835.40999999992</v>
      </c>
      <c r="M65" s="25"/>
      <c r="N65" s="42">
        <f>_xll.NSGLABUD($E$5,$C$5,$G65,N$1,N$2)</f>
        <v>63031.12</v>
      </c>
      <c r="O65" s="25"/>
      <c r="P65" s="30">
        <f>_xll.NSGLABAL($E$5,$G65,P$1,P$2)</f>
        <v>0</v>
      </c>
      <c r="Q65" s="23">
        <f t="shared" si="10"/>
        <v>799249.57</v>
      </c>
      <c r="R65" s="45">
        <f t="shared" si="11"/>
        <v>0</v>
      </c>
    </row>
    <row r="66" spans="2:18" s="6" customFormat="1" ht="21" customHeight="1" x14ac:dyDescent="0.25">
      <c r="B66" s="7"/>
      <c r="C66" s="30">
        <f>_xll.NSGLABAL($E$5,$G66,E$1,E$2)</f>
        <v>-73</v>
      </c>
      <c r="D66" s="23">
        <f>_xll.NSGLABUD($E$5,$C$5,$G66,E$1,E$2)</f>
        <v>126.5</v>
      </c>
      <c r="E66" s="31">
        <f t="shared" si="8"/>
        <v>-199.5</v>
      </c>
      <c r="F66" s="25"/>
      <c r="G66" s="37" t="str">
        <f>IF(TRUE,"6170","LI(24,0)")</f>
        <v>6170</v>
      </c>
      <c r="H66" s="38" t="str">
        <f>IF(TRUE,"Postage &amp; Delivery","LI(24,1)")</f>
        <v>Postage &amp; Delivery</v>
      </c>
      <c r="I66" s="25"/>
      <c r="J66" s="30">
        <f>_xll.NSGLABAL($E$5,$G66,J$1,J$2)</f>
        <v>-920.18</v>
      </c>
      <c r="K66" s="23">
        <f>_xll.NSGLABUD($E$5,$C$5,$G66,J$1,J$2)</f>
        <v>506</v>
      </c>
      <c r="L66" s="31">
        <f t="shared" si="9"/>
        <v>-1426.1799999999998</v>
      </c>
      <c r="M66" s="25"/>
      <c r="N66" s="42">
        <f>_xll.NSGLABUD($E$5,$C$5,$G66,N$1,N$2)</f>
        <v>1518</v>
      </c>
      <c r="O66" s="25"/>
      <c r="P66" s="30">
        <f>_xll.NSGLABAL($E$5,$G66,P$1,P$2)</f>
        <v>0</v>
      </c>
      <c r="Q66" s="23">
        <f t="shared" si="10"/>
        <v>-920.18</v>
      </c>
      <c r="R66" s="45">
        <f t="shared" si="11"/>
        <v>0</v>
      </c>
    </row>
    <row r="67" spans="2:18" s="6" customFormat="1" ht="21" hidden="1" customHeight="1" x14ac:dyDescent="0.25">
      <c r="B67" s="7"/>
      <c r="C67" s="30">
        <f>_xll.NSGLABAL($E$5,$G67,E$1,E$2)</f>
        <v>0</v>
      </c>
      <c r="D67" s="23">
        <f>_xll.NSGLABUD($E$5,$C$5,$G67,E$1,E$2)</f>
        <v>0</v>
      </c>
      <c r="E67" s="31">
        <f t="shared" si="8"/>
        <v>0</v>
      </c>
      <c r="F67" s="25"/>
      <c r="G67" s="37" t="str">
        <f>IF(TRUE,"6180","LI(25,0)")</f>
        <v>6180</v>
      </c>
      <c r="H67" s="38" t="str">
        <f>IF(TRUE,"Professional Fees","LI(25,1)")</f>
        <v>Professional Fees</v>
      </c>
      <c r="I67" s="25"/>
      <c r="J67" s="30">
        <f>_xll.NSGLABAL($E$5,$G67,J$1,J$2)</f>
        <v>65880</v>
      </c>
      <c r="K67" s="23">
        <f>_xll.NSGLABUD($E$5,$C$5,$G67,J$1,J$2)</f>
        <v>0</v>
      </c>
      <c r="L67" s="31">
        <f t="shared" si="9"/>
        <v>65880</v>
      </c>
      <c r="M67" s="25"/>
      <c r="N67" s="42">
        <f>_xll.NSGLABUD($E$5,$C$5,$G67,N$1,N$2)</f>
        <v>0</v>
      </c>
      <c r="O67" s="25"/>
      <c r="P67" s="30">
        <f>_xll.NSGLABAL($E$5,$G67,P$1,P$2)</f>
        <v>0</v>
      </c>
      <c r="Q67" s="23">
        <f t="shared" si="10"/>
        <v>65880</v>
      </c>
      <c r="R67" s="45">
        <f t="shared" si="11"/>
        <v>0</v>
      </c>
    </row>
    <row r="68" spans="2:18" s="6" customFormat="1" ht="21" customHeight="1" x14ac:dyDescent="0.25">
      <c r="B68" s="7"/>
      <c r="C68" s="30">
        <f>_xll.NSGLABAL($E$5,$G68,E$1,E$2)</f>
        <v>0</v>
      </c>
      <c r="D68" s="23">
        <f>_xll.NSGLABUD($E$5,$C$5,$G68,E$1,E$2)</f>
        <v>0</v>
      </c>
      <c r="E68" s="31">
        <f t="shared" si="8"/>
        <v>0</v>
      </c>
      <c r="F68" s="25"/>
      <c r="G68" s="37" t="str">
        <f>IF(TRUE,"6182","LI(26,0)")</f>
        <v>6182</v>
      </c>
      <c r="H68" s="38" t="str">
        <f>IF(TRUE,"Accounting","LI(26,1)")</f>
        <v>Accounting</v>
      </c>
      <c r="I68" s="25"/>
      <c r="J68" s="30">
        <f>_xll.NSGLABAL($E$5,$G68,J$1,J$2)</f>
        <v>160000</v>
      </c>
      <c r="K68" s="23">
        <f>_xll.NSGLABUD($E$5,$C$5,$G68,J$1,J$2)</f>
        <v>15000</v>
      </c>
      <c r="L68" s="31">
        <f t="shared" si="9"/>
        <v>145000</v>
      </c>
      <c r="M68" s="25"/>
      <c r="N68" s="42">
        <f>_xll.NSGLABUD($E$5,$C$5,$G68,N$1,N$2)</f>
        <v>20000</v>
      </c>
      <c r="O68" s="25"/>
      <c r="P68" s="30">
        <f>_xll.NSGLABAL($E$5,$G68,P$1,P$2)</f>
        <v>0</v>
      </c>
      <c r="Q68" s="23">
        <f t="shared" si="10"/>
        <v>160000</v>
      </c>
      <c r="R68" s="45">
        <f t="shared" si="11"/>
        <v>0</v>
      </c>
    </row>
    <row r="69" spans="2:18" s="6" customFormat="1" ht="21" customHeight="1" x14ac:dyDescent="0.25">
      <c r="B69" s="7"/>
      <c r="C69" s="30">
        <f>_xll.NSGLABAL($E$5,$G69,E$1,E$2)</f>
        <v>0</v>
      </c>
      <c r="D69" s="23">
        <f>_xll.NSGLABUD($E$5,$C$5,$G69,E$1,E$2)</f>
        <v>0</v>
      </c>
      <c r="E69" s="31">
        <f t="shared" si="8"/>
        <v>0</v>
      </c>
      <c r="F69" s="25"/>
      <c r="G69" s="37" t="str">
        <f>IF(TRUE,"6184","LI(27,0)")</f>
        <v>6184</v>
      </c>
      <c r="H69" s="38" t="str">
        <f>IF(TRUE,"Legal","LI(27,1)")</f>
        <v>Legal</v>
      </c>
      <c r="I69" s="25"/>
      <c r="J69" s="30">
        <f>_xll.NSGLABAL($E$5,$G69,J$1,J$2)</f>
        <v>201000</v>
      </c>
      <c r="K69" s="23">
        <f>_xll.NSGLABUD($E$5,$C$5,$G69,J$1,J$2)</f>
        <v>20000</v>
      </c>
      <c r="L69" s="31">
        <f t="shared" si="9"/>
        <v>181000</v>
      </c>
      <c r="M69" s="25"/>
      <c r="N69" s="42">
        <f>_xll.NSGLABUD($E$5,$C$5,$G69,N$1,N$2)</f>
        <v>50000</v>
      </c>
      <c r="O69" s="25"/>
      <c r="P69" s="30">
        <f>_xll.NSGLABAL($E$5,$G69,P$1,P$2)</f>
        <v>0</v>
      </c>
      <c r="Q69" s="23">
        <f t="shared" si="10"/>
        <v>201000</v>
      </c>
      <c r="R69" s="45">
        <f t="shared" si="11"/>
        <v>0</v>
      </c>
    </row>
    <row r="70" spans="2:18" s="6" customFormat="1" ht="21" customHeight="1" x14ac:dyDescent="0.25">
      <c r="B70" s="7"/>
      <c r="C70" s="30">
        <f>_xll.NSGLABAL($E$5,$G70,E$1,E$2)</f>
        <v>151287.54999999999</v>
      </c>
      <c r="D70" s="23">
        <f>_xll.NSGLABUD($E$5,$C$5,$G70,E$1,E$2)</f>
        <v>34321.9</v>
      </c>
      <c r="E70" s="31">
        <f t="shared" si="8"/>
        <v>116965.65</v>
      </c>
      <c r="F70" s="25"/>
      <c r="G70" s="37" t="str">
        <f>IF(TRUE,"6200","LI(28,0)")</f>
        <v>6200</v>
      </c>
      <c r="H70" s="38" t="str">
        <f>IF(TRUE,"Rent Expense","LI(28,1)")</f>
        <v>Rent Expense</v>
      </c>
      <c r="I70" s="25"/>
      <c r="J70" s="30">
        <f>_xll.NSGLABAL($E$5,$G70,J$1,J$2)</f>
        <v>540808.42000000004</v>
      </c>
      <c r="K70" s="23">
        <f>_xll.NSGLABUD($E$5,$C$5,$G70,J$1,J$2)</f>
        <v>75226.600000000006</v>
      </c>
      <c r="L70" s="31">
        <f t="shared" si="9"/>
        <v>465581.82000000007</v>
      </c>
      <c r="M70" s="25"/>
      <c r="N70" s="42">
        <f>_xll.NSGLABUD($E$5,$C$5,$G70,N$1,N$2)</f>
        <v>251882.7</v>
      </c>
      <c r="O70" s="25"/>
      <c r="P70" s="30">
        <f>_xll.NSGLABAL($E$5,$G70,P$1,P$2)</f>
        <v>19200</v>
      </c>
      <c r="Q70" s="23">
        <f t="shared" si="10"/>
        <v>521608.42000000004</v>
      </c>
      <c r="R70" s="45">
        <f t="shared" si="11"/>
        <v>2716.7105208333337</v>
      </c>
    </row>
    <row r="71" spans="2:18" s="6" customFormat="1" ht="21" customHeight="1" x14ac:dyDescent="0.25">
      <c r="B71" s="7"/>
      <c r="C71" s="30">
        <f>_xll.NSGLABAL($E$5,$G71,E$1,E$2)</f>
        <v>199</v>
      </c>
      <c r="D71" s="23">
        <f>_xll.NSGLABUD($E$5,$C$5,$G71,E$1,E$2)</f>
        <v>250</v>
      </c>
      <c r="E71" s="31">
        <f t="shared" si="8"/>
        <v>-51</v>
      </c>
      <c r="F71" s="25"/>
      <c r="G71" s="37" t="str">
        <f>IF(TRUE,"6220","LI(29,0)")</f>
        <v>6220</v>
      </c>
      <c r="H71" s="38" t="str">
        <f>IF(TRUE,"Repairs &amp; Maintenance","LI(29,1)")</f>
        <v>Repairs &amp; Maintenance</v>
      </c>
      <c r="I71" s="25"/>
      <c r="J71" s="30">
        <f>_xll.NSGLABAL($E$5,$G71,J$1,J$2)</f>
        <v>6493.72</v>
      </c>
      <c r="K71" s="23">
        <f>_xll.NSGLABUD($E$5,$C$5,$G71,J$1,J$2)</f>
        <v>1000</v>
      </c>
      <c r="L71" s="31">
        <f t="shared" si="9"/>
        <v>5493.72</v>
      </c>
      <c r="M71" s="25"/>
      <c r="N71" s="42">
        <f>_xll.NSGLABUD($E$5,$C$5,$G71,N$1,N$2)</f>
        <v>9624.64</v>
      </c>
      <c r="O71" s="25"/>
      <c r="P71" s="30">
        <f>_xll.NSGLABAL($E$5,$G71,P$1,P$2)</f>
        <v>1116</v>
      </c>
      <c r="Q71" s="23">
        <f t="shared" si="10"/>
        <v>5377.72</v>
      </c>
      <c r="R71" s="45">
        <f t="shared" si="11"/>
        <v>481.87455197132618</v>
      </c>
    </row>
    <row r="72" spans="2:18" s="6" customFormat="1" ht="21" hidden="1" customHeight="1" x14ac:dyDescent="0.25">
      <c r="B72" s="7"/>
      <c r="C72" s="30">
        <f>_xll.NSGLABAL($E$5,$G72,E$1,E$2)</f>
        <v>0</v>
      </c>
      <c r="D72" s="23">
        <f>_xll.NSGLABUD($E$5,$C$5,$G72,E$1,E$2)</f>
        <v>0</v>
      </c>
      <c r="E72" s="31">
        <f t="shared" si="8"/>
        <v>0</v>
      </c>
      <c r="F72" s="25"/>
      <c r="G72" s="37" t="str">
        <f>IF(TRUE,"6230","LI(30,0)")</f>
        <v>6230</v>
      </c>
      <c r="H72" s="38" t="str">
        <f>IF(TRUE,"Supplies Expense","LI(30,1)")</f>
        <v>Supplies Expense</v>
      </c>
      <c r="I72" s="25"/>
      <c r="J72" s="30">
        <f>_xll.NSGLABAL($E$5,$G72,J$1,J$2)</f>
        <v>0</v>
      </c>
      <c r="K72" s="23">
        <f>_xll.NSGLABUD($E$5,$C$5,$G72,J$1,J$2)</f>
        <v>0</v>
      </c>
      <c r="L72" s="31">
        <f t="shared" si="9"/>
        <v>0</v>
      </c>
      <c r="M72" s="25"/>
      <c r="N72" s="42">
        <f>_xll.NSGLABUD($E$5,$C$5,$G72,N$1,N$2)</f>
        <v>0</v>
      </c>
      <c r="O72" s="25"/>
      <c r="P72" s="30">
        <f>_xll.NSGLABAL($E$5,$G72,P$1,P$2)</f>
        <v>0</v>
      </c>
      <c r="Q72" s="23">
        <f t="shared" si="10"/>
        <v>0</v>
      </c>
      <c r="R72" s="45">
        <f t="shared" si="11"/>
        <v>0</v>
      </c>
    </row>
    <row r="73" spans="2:18" s="6" customFormat="1" ht="21" hidden="1" customHeight="1" x14ac:dyDescent="0.25">
      <c r="B73" s="7"/>
      <c r="C73" s="30">
        <f>_xll.NSGLABAL($E$5,$G73,E$1,E$2)</f>
        <v>0</v>
      </c>
      <c r="D73" s="23">
        <f>_xll.NSGLABUD($E$5,$C$5,$G73,E$1,E$2)</f>
        <v>0</v>
      </c>
      <c r="E73" s="31">
        <f t="shared" si="8"/>
        <v>0</v>
      </c>
      <c r="F73" s="25"/>
      <c r="G73" s="37" t="str">
        <f>IF(TRUE,"6250","LI(31,0)")</f>
        <v>6250</v>
      </c>
      <c r="H73" s="38" t="str">
        <f>IF(TRUE,"Taxes &amp; Licenses-Other","LI(31,1)")</f>
        <v>Taxes &amp; Licenses-Other</v>
      </c>
      <c r="I73" s="25"/>
      <c r="J73" s="30">
        <f>_xll.NSGLABAL($E$5,$G73,J$1,J$2)</f>
        <v>0</v>
      </c>
      <c r="K73" s="23">
        <f>_xll.NSGLABUD($E$5,$C$5,$G73,J$1,J$2)</f>
        <v>0</v>
      </c>
      <c r="L73" s="31">
        <f t="shared" si="9"/>
        <v>0</v>
      </c>
      <c r="M73" s="25"/>
      <c r="N73" s="42">
        <f>_xll.NSGLABUD($E$5,$C$5,$G73,N$1,N$2)</f>
        <v>0</v>
      </c>
      <c r="O73" s="25"/>
      <c r="P73" s="30">
        <f>_xll.NSGLABAL($E$5,$G73,P$1,P$2)</f>
        <v>0</v>
      </c>
      <c r="Q73" s="23">
        <f t="shared" si="10"/>
        <v>0</v>
      </c>
      <c r="R73" s="45">
        <f t="shared" si="11"/>
        <v>0</v>
      </c>
    </row>
    <row r="74" spans="2:18" s="6" customFormat="1" ht="21" hidden="1" customHeight="1" x14ac:dyDescent="0.25">
      <c r="B74" s="7"/>
      <c r="C74" s="30">
        <f>_xll.NSGLABAL($E$5,$G74,E$1,E$2)</f>
        <v>0</v>
      </c>
      <c r="D74" s="23">
        <f>_xll.NSGLABUD($E$5,$C$5,$G74,E$1,E$2)</f>
        <v>0</v>
      </c>
      <c r="E74" s="31">
        <f t="shared" si="8"/>
        <v>0</v>
      </c>
      <c r="F74" s="25"/>
      <c r="G74" s="37" t="str">
        <f>IF(TRUE,"6252","LI(32,0)")</f>
        <v>6252</v>
      </c>
      <c r="H74" s="38" t="str">
        <f>IF(TRUE,"Business","LI(32,1)")</f>
        <v>Business</v>
      </c>
      <c r="I74" s="25"/>
      <c r="J74" s="30">
        <f>_xll.NSGLABAL($E$5,$G74,J$1,J$2)</f>
        <v>0</v>
      </c>
      <c r="K74" s="23">
        <f>_xll.NSGLABUD($E$5,$C$5,$G74,J$1,J$2)</f>
        <v>0</v>
      </c>
      <c r="L74" s="31">
        <f t="shared" si="9"/>
        <v>0</v>
      </c>
      <c r="M74" s="25"/>
      <c r="N74" s="42">
        <f>_xll.NSGLABUD($E$5,$C$5,$G74,N$1,N$2)</f>
        <v>0</v>
      </c>
      <c r="O74" s="25"/>
      <c r="P74" s="30">
        <f>_xll.NSGLABAL($E$5,$G74,P$1,P$2)</f>
        <v>0</v>
      </c>
      <c r="Q74" s="23">
        <f t="shared" si="10"/>
        <v>0</v>
      </c>
      <c r="R74" s="45">
        <f t="shared" si="11"/>
        <v>0</v>
      </c>
    </row>
    <row r="75" spans="2:18" s="6" customFormat="1" ht="21" hidden="1" customHeight="1" x14ac:dyDescent="0.25">
      <c r="B75" s="7"/>
      <c r="C75" s="30">
        <f>_xll.NSGLABAL($E$5,$G75,E$1,E$2)</f>
        <v>0</v>
      </c>
      <c r="D75" s="23">
        <f>_xll.NSGLABUD($E$5,$C$5,$G75,E$1,E$2)</f>
        <v>0</v>
      </c>
      <c r="E75" s="31">
        <f t="shared" si="8"/>
        <v>0</v>
      </c>
      <c r="F75" s="25"/>
      <c r="G75" s="37" t="str">
        <f>IF(TRUE,"6254","LI(33,0)")</f>
        <v>6254</v>
      </c>
      <c r="H75" s="38" t="str">
        <f>IF(TRUE,"Property","LI(33,1)")</f>
        <v>Property</v>
      </c>
      <c r="I75" s="25"/>
      <c r="J75" s="30">
        <f>_xll.NSGLABAL($E$5,$G75,J$1,J$2)</f>
        <v>0</v>
      </c>
      <c r="K75" s="23">
        <f>_xll.NSGLABUD($E$5,$C$5,$G75,J$1,J$2)</f>
        <v>0</v>
      </c>
      <c r="L75" s="31">
        <f t="shared" si="9"/>
        <v>0</v>
      </c>
      <c r="M75" s="25"/>
      <c r="N75" s="42">
        <f>_xll.NSGLABUD($E$5,$C$5,$G75,N$1,N$2)</f>
        <v>0</v>
      </c>
      <c r="O75" s="25"/>
      <c r="P75" s="30">
        <f>_xll.NSGLABAL($E$5,$G75,P$1,P$2)</f>
        <v>0</v>
      </c>
      <c r="Q75" s="23">
        <f t="shared" si="10"/>
        <v>0</v>
      </c>
      <c r="R75" s="45">
        <f t="shared" si="11"/>
        <v>0</v>
      </c>
    </row>
    <row r="76" spans="2:18" s="6" customFormat="1" ht="21" customHeight="1" x14ac:dyDescent="0.25">
      <c r="B76" s="7"/>
      <c r="C76" s="30">
        <f>_xll.NSGLABAL($E$5,$G76,E$1,E$2)</f>
        <v>14398.37</v>
      </c>
      <c r="D76" s="23">
        <f>_xll.NSGLABUD($E$5,$C$5,$G76,E$1,E$2)</f>
        <v>1064.57</v>
      </c>
      <c r="E76" s="31">
        <f t="shared" si="8"/>
        <v>13333.800000000001</v>
      </c>
      <c r="F76" s="25"/>
      <c r="G76" s="37" t="str">
        <f>IF(TRUE,"6260","LI(34,0)")</f>
        <v>6260</v>
      </c>
      <c r="H76" s="38" t="str">
        <f>IF(TRUE,"Telephone Expense","LI(34,1)")</f>
        <v>Telephone Expense</v>
      </c>
      <c r="I76" s="25"/>
      <c r="J76" s="30">
        <f>_xll.NSGLABAL($E$5,$G76,J$1,J$2)</f>
        <v>52923.33</v>
      </c>
      <c r="K76" s="23">
        <f>_xll.NSGLABUD($E$5,$C$5,$G76,J$1,J$2)</f>
        <v>4034.94</v>
      </c>
      <c r="L76" s="31">
        <f t="shared" si="9"/>
        <v>48888.39</v>
      </c>
      <c r="M76" s="25"/>
      <c r="N76" s="42">
        <f>_xll.NSGLABUD($E$5,$C$5,$G76,N$1,N$2)</f>
        <v>19948.419999999998</v>
      </c>
      <c r="O76" s="25"/>
      <c r="P76" s="30">
        <f>_xll.NSGLABAL($E$5,$G76,P$1,P$2)</f>
        <v>0</v>
      </c>
      <c r="Q76" s="23">
        <f t="shared" si="10"/>
        <v>52923.33</v>
      </c>
      <c r="R76" s="45">
        <f t="shared" si="11"/>
        <v>0</v>
      </c>
    </row>
    <row r="77" spans="2:18" s="6" customFormat="1" ht="21" hidden="1" customHeight="1" x14ac:dyDescent="0.25">
      <c r="B77" s="5"/>
      <c r="C77" s="30">
        <f>_xll.NSGLABAL($E$5,$G77,E$1,E$2)</f>
        <v>0</v>
      </c>
      <c r="D77" s="23">
        <f>_xll.NSGLABUD($E$5,$C$5,$G77,E$1,E$2)</f>
        <v>0</v>
      </c>
      <c r="E77" s="31">
        <f t="shared" si="8"/>
        <v>0</v>
      </c>
      <c r="F77" s="25"/>
      <c r="G77" s="47" t="str">
        <f>IF(TRUE,"6262","LI(35,0)")</f>
        <v>6262</v>
      </c>
      <c r="H77" s="48" t="str">
        <f>IF(TRUE,"Regular Service","LI(35,1)")</f>
        <v>Regular Service</v>
      </c>
      <c r="I77" s="25"/>
      <c r="J77" s="30">
        <f>_xll.NSGLABAL($E$5,$G77,J$1,J$2)</f>
        <v>-10</v>
      </c>
      <c r="K77" s="23">
        <f>_xll.NSGLABUD($E$5,$C$5,$G77,J$1,J$2)</f>
        <v>0</v>
      </c>
      <c r="L77" s="31">
        <f t="shared" si="9"/>
        <v>-10</v>
      </c>
      <c r="M77" s="25"/>
      <c r="N77" s="42">
        <f>_xll.NSGLABUD($E$5,$C$5,$G77,N$1,N$2)</f>
        <v>0</v>
      </c>
      <c r="O77" s="25"/>
      <c r="P77" s="30">
        <f>_xll.NSGLABAL($E$5,$G77,P$1,P$2)</f>
        <v>0</v>
      </c>
      <c r="Q77" s="23">
        <f t="shared" si="10"/>
        <v>-10</v>
      </c>
      <c r="R77" s="45">
        <f t="shared" si="11"/>
        <v>0</v>
      </c>
    </row>
    <row r="78" spans="2:18" s="6" customFormat="1" ht="21" customHeight="1" x14ac:dyDescent="0.25">
      <c r="B78" s="5"/>
      <c r="C78" s="30">
        <f>_xll.NSGLABAL($E$5,$G78,E$1,E$2)</f>
        <v>3060</v>
      </c>
      <c r="D78" s="23">
        <f>_xll.NSGLABUD($E$5,$C$5,$G78,E$1,E$2)</f>
        <v>500</v>
      </c>
      <c r="E78" s="31">
        <f t="shared" si="8"/>
        <v>2560</v>
      </c>
      <c r="F78" s="25"/>
      <c r="G78" s="47" t="str">
        <f>IF(TRUE,"6266","LI(36,0)")</f>
        <v>6266</v>
      </c>
      <c r="H78" s="48" t="str">
        <f>IF(TRUE,"Cellular","LI(36,1)")</f>
        <v>Cellular</v>
      </c>
      <c r="I78" s="25"/>
      <c r="J78" s="30">
        <f>_xll.NSGLABAL($E$5,$G78,J$1,J$2)</f>
        <v>8860</v>
      </c>
      <c r="K78" s="23">
        <f>_xll.NSGLABUD($E$5,$C$5,$G78,J$1,J$2)</f>
        <v>2000</v>
      </c>
      <c r="L78" s="31">
        <f t="shared" si="9"/>
        <v>6860</v>
      </c>
      <c r="M78" s="25"/>
      <c r="N78" s="42">
        <f>_xll.NSGLABUD($E$5,$C$5,$G78,N$1,N$2)</f>
        <v>6000</v>
      </c>
      <c r="O78" s="25"/>
      <c r="P78" s="30">
        <f>_xll.NSGLABAL($E$5,$G78,P$1,P$2)</f>
        <v>0</v>
      </c>
      <c r="Q78" s="23">
        <f t="shared" si="10"/>
        <v>8860</v>
      </c>
      <c r="R78" s="45">
        <f t="shared" si="11"/>
        <v>0</v>
      </c>
    </row>
    <row r="79" spans="2:18" s="6" customFormat="1" ht="21" customHeight="1" x14ac:dyDescent="0.25">
      <c r="B79" s="5"/>
      <c r="C79" s="30">
        <f>_xll.NSGLABAL($E$5,$G79,E$1,E$2)</f>
        <v>0</v>
      </c>
      <c r="D79" s="23">
        <f>_xll.NSGLABUD($E$5,$C$5,$G79,E$1,E$2)</f>
        <v>900</v>
      </c>
      <c r="E79" s="31">
        <f t="shared" si="8"/>
        <v>-900</v>
      </c>
      <c r="F79" s="25"/>
      <c r="G79" s="47" t="str">
        <f>IF(TRUE,"6268","LI(37,0)")</f>
        <v>6268</v>
      </c>
      <c r="H79" s="48" t="str">
        <f>IF(TRUE,"Online Fees","LI(37,1)")</f>
        <v>Online Fees</v>
      </c>
      <c r="I79" s="25"/>
      <c r="J79" s="30">
        <f>_xll.NSGLABAL($E$5,$G79,J$1,J$2)</f>
        <v>0</v>
      </c>
      <c r="K79" s="23">
        <f>_xll.NSGLABUD($E$5,$C$5,$G79,J$1,J$2)</f>
        <v>900</v>
      </c>
      <c r="L79" s="31">
        <f t="shared" si="9"/>
        <v>-900</v>
      </c>
      <c r="M79" s="25"/>
      <c r="N79" s="42">
        <f>_xll.NSGLABUD($E$5,$C$5,$G79,N$1,N$2)</f>
        <v>2700</v>
      </c>
      <c r="O79" s="25"/>
      <c r="P79" s="30">
        <f>_xll.NSGLABAL($E$5,$G79,P$1,P$2)</f>
        <v>3600</v>
      </c>
      <c r="Q79" s="23">
        <f t="shared" si="10"/>
        <v>-3600</v>
      </c>
      <c r="R79" s="45">
        <f t="shared" si="11"/>
        <v>-100</v>
      </c>
    </row>
    <row r="80" spans="2:18" s="6" customFormat="1" ht="21" customHeight="1" x14ac:dyDescent="0.25">
      <c r="B80" s="5"/>
      <c r="C80" s="30">
        <f>_xll.NSGLABAL($E$5,$G80,E$1,E$2)</f>
        <v>66876.3</v>
      </c>
      <c r="D80" s="23">
        <f>_xll.NSGLABUD($E$5,$C$5,$G80,E$1,E$2)</f>
        <v>6122.41</v>
      </c>
      <c r="E80" s="31">
        <f t="shared" si="8"/>
        <v>60753.89</v>
      </c>
      <c r="F80" s="25"/>
      <c r="G80" s="47" t="str">
        <f>IF(TRUE,"6300","LI(38,0)")</f>
        <v>6300</v>
      </c>
      <c r="H80" s="48" t="str">
        <f>IF(TRUE,"Utilities","LI(38,1)")</f>
        <v>Utilities</v>
      </c>
      <c r="I80" s="25"/>
      <c r="J80" s="30">
        <f>_xll.NSGLABAL($E$5,$G80,J$1,J$2)</f>
        <v>264332.44</v>
      </c>
      <c r="K80" s="23">
        <f>_xll.NSGLABUD($E$5,$C$5,$G80,J$1,J$2)</f>
        <v>24310.95</v>
      </c>
      <c r="L80" s="31">
        <f t="shared" si="9"/>
        <v>240021.49</v>
      </c>
      <c r="M80" s="25"/>
      <c r="N80" s="42">
        <f>_xll.NSGLABUD($E$5,$C$5,$G80,N$1,N$2)</f>
        <v>77745.89</v>
      </c>
      <c r="O80" s="25"/>
      <c r="P80" s="30">
        <f>_xll.NSGLABAL($E$5,$G80,P$1,P$2)</f>
        <v>0</v>
      </c>
      <c r="Q80" s="23">
        <f t="shared" si="10"/>
        <v>264332.44</v>
      </c>
      <c r="R80" s="45">
        <f t="shared" si="11"/>
        <v>0</v>
      </c>
    </row>
    <row r="81" spans="2:19" s="6" customFormat="1" ht="21" customHeight="1" x14ac:dyDescent="0.25">
      <c r="B81" s="5"/>
      <c r="C81" s="30">
        <f>_xll.NSGLABAL($E$5,$G81,E$1,E$2)</f>
        <v>400761.15</v>
      </c>
      <c r="D81" s="23">
        <f>_xll.NSGLABUD($E$5,$C$5,$G81,E$1,E$2)</f>
        <v>37131.94</v>
      </c>
      <c r="E81" s="31">
        <f t="shared" si="8"/>
        <v>363629.21</v>
      </c>
      <c r="F81" s="25"/>
      <c r="G81" s="47" t="str">
        <f>IF(TRUE,"6400","LI(39,0)")</f>
        <v>6400</v>
      </c>
      <c r="H81" s="48" t="str">
        <f>IF(TRUE,"Salaries &amp; Wages Expense","LI(39,1)")</f>
        <v>Salaries &amp; Wages Expense</v>
      </c>
      <c r="I81" s="25"/>
      <c r="J81" s="30">
        <f>_xll.NSGLABAL($E$5,$G81,J$1,J$2)</f>
        <v>1702661.5</v>
      </c>
      <c r="K81" s="23">
        <f>_xll.NSGLABUD($E$5,$C$5,$G81,J$1,J$2)</f>
        <v>146497.25</v>
      </c>
      <c r="L81" s="31">
        <f t="shared" si="9"/>
        <v>1556164.25</v>
      </c>
      <c r="M81" s="25"/>
      <c r="N81" s="42">
        <f>_xll.NSGLABUD($E$5,$C$5,$G81,N$1,N$2)</f>
        <v>496149.99</v>
      </c>
      <c r="O81" s="25"/>
      <c r="P81" s="30">
        <f>_xll.NSGLABAL($E$5,$G81,P$1,P$2)</f>
        <v>0</v>
      </c>
      <c r="Q81" s="23">
        <f t="shared" si="10"/>
        <v>1702661.5</v>
      </c>
      <c r="R81" s="45">
        <f t="shared" si="11"/>
        <v>0</v>
      </c>
    </row>
    <row r="82" spans="2:19" s="6" customFormat="1" ht="21" hidden="1" customHeight="1" x14ac:dyDescent="0.25">
      <c r="B82" s="5"/>
      <c r="C82" s="30">
        <f>_xll.NSGLABAL($E$5,$G82,E$1,E$2)</f>
        <v>0</v>
      </c>
      <c r="D82" s="23">
        <f>_xll.NSGLABUD($E$5,$C$5,$G82,E$1,E$2)</f>
        <v>0</v>
      </c>
      <c r="E82" s="31">
        <f t="shared" si="8"/>
        <v>0</v>
      </c>
      <c r="F82" s="25"/>
      <c r="G82" s="47" t="str">
        <f>IF(TRUE,"6500","LI(40,0)")</f>
        <v>6500</v>
      </c>
      <c r="H82" s="48" t="str">
        <f>IF(TRUE,"Payroll Expenses","LI(40,1)")</f>
        <v>Payroll Expenses</v>
      </c>
      <c r="I82" s="25"/>
      <c r="J82" s="30">
        <f>_xll.NSGLABAL($E$5,$G82,J$1,J$2)</f>
        <v>0</v>
      </c>
      <c r="K82" s="23">
        <f>_xll.NSGLABUD($E$5,$C$5,$G82,J$1,J$2)</f>
        <v>0</v>
      </c>
      <c r="L82" s="31">
        <f t="shared" si="9"/>
        <v>0</v>
      </c>
      <c r="M82" s="25"/>
      <c r="N82" s="42">
        <f>_xll.NSGLABUD($E$5,$C$5,$G82,N$1,N$2)</f>
        <v>0</v>
      </c>
      <c r="O82" s="25"/>
      <c r="P82" s="30">
        <f>_xll.NSGLABAL($E$5,$G82,P$1,P$2)</f>
        <v>0</v>
      </c>
      <c r="Q82" s="23">
        <f t="shared" si="10"/>
        <v>0</v>
      </c>
      <c r="R82" s="45">
        <f t="shared" si="11"/>
        <v>0</v>
      </c>
    </row>
    <row r="83" spans="2:19" s="6" customFormat="1" ht="21" customHeight="1" x14ac:dyDescent="0.25">
      <c r="B83" s="5"/>
      <c r="C83" s="30">
        <f>_xll.NSGLABAL($E$5,$G83,E$1,E$2)</f>
        <v>100000</v>
      </c>
      <c r="D83" s="23">
        <f>_xll.NSGLABUD($E$5,$C$5,$G83,E$1,E$2)</f>
        <v>0</v>
      </c>
      <c r="E83" s="31">
        <f t="shared" si="8"/>
        <v>100000</v>
      </c>
      <c r="F83" s="25"/>
      <c r="G83" s="47" t="str">
        <f>IF(TRUE,"6600","LI(41,0)")</f>
        <v>6600</v>
      </c>
      <c r="H83" s="48" t="str">
        <f>IF(TRUE,"Manufacturing Expenses","LI(41,1)")</f>
        <v>Manufacturing Expenses</v>
      </c>
      <c r="I83" s="25"/>
      <c r="J83" s="30">
        <f>_xll.NSGLABAL($E$5,$G83,J$1,J$2)</f>
        <v>200000</v>
      </c>
      <c r="K83" s="23">
        <f>_xll.NSGLABUD($E$5,$C$5,$G83,J$1,J$2)</f>
        <v>10000</v>
      </c>
      <c r="L83" s="31">
        <f t="shared" si="9"/>
        <v>190000</v>
      </c>
      <c r="M83" s="25"/>
      <c r="N83" s="42">
        <f>_xll.NSGLABUD($E$5,$C$5,$G83,N$1,N$2)</f>
        <v>40000</v>
      </c>
      <c r="O83" s="25"/>
      <c r="P83" s="30">
        <f>_xll.NSGLABAL($E$5,$G83,P$1,P$2)</f>
        <v>0</v>
      </c>
      <c r="Q83" s="23">
        <f t="shared" si="10"/>
        <v>200000</v>
      </c>
      <c r="R83" s="45">
        <f t="shared" si="11"/>
        <v>0</v>
      </c>
    </row>
    <row r="84" spans="2:19" s="6" customFormat="1" ht="21" customHeight="1" x14ac:dyDescent="0.25">
      <c r="B84" s="5"/>
      <c r="C84" s="30">
        <f>_xll.NSGLABAL($E$5,$G84,E$1,E$2)</f>
        <v>0</v>
      </c>
      <c r="D84" s="23">
        <f>_xll.NSGLABUD($E$5,$C$5,$G84,E$1,E$2)</f>
        <v>0</v>
      </c>
      <c r="E84" s="31">
        <f t="shared" si="8"/>
        <v>0</v>
      </c>
      <c r="F84" s="25"/>
      <c r="G84" s="47" t="str">
        <f>IF(TRUE,"6610","LI(42,0)")</f>
        <v>6610</v>
      </c>
      <c r="H84" s="48" t="str">
        <f>IF(TRUE,"Labor","LI(42,1)")</f>
        <v>Labor</v>
      </c>
      <c r="I84" s="25"/>
      <c r="J84" s="30">
        <f>_xll.NSGLABAL($E$5,$G84,J$1,J$2)</f>
        <v>346480.83</v>
      </c>
      <c r="K84" s="23">
        <f>_xll.NSGLABUD($E$5,$C$5,$G84,J$1,J$2)</f>
        <v>25000</v>
      </c>
      <c r="L84" s="31">
        <f t="shared" si="9"/>
        <v>321480.83</v>
      </c>
      <c r="M84" s="25"/>
      <c r="N84" s="42">
        <f>_xll.NSGLABUD($E$5,$C$5,$G84,N$1,N$2)</f>
        <v>70000</v>
      </c>
      <c r="O84" s="25"/>
      <c r="P84" s="30">
        <f>_xll.NSGLABAL($E$5,$G84,P$1,P$2)</f>
        <v>0</v>
      </c>
      <c r="Q84" s="23">
        <f t="shared" si="10"/>
        <v>346480.83</v>
      </c>
      <c r="R84" s="45">
        <f t="shared" si="11"/>
        <v>0</v>
      </c>
    </row>
    <row r="85" spans="2:19" s="6" customFormat="1" ht="21" customHeight="1" x14ac:dyDescent="0.25">
      <c r="B85" s="5"/>
      <c r="C85" s="30">
        <f>_xll.NSGLABAL($E$5,$G85,E$1,E$2)</f>
        <v>0</v>
      </c>
      <c r="D85" s="23">
        <f>_xll.NSGLABUD($E$5,$C$5,$G85,E$1,E$2)</f>
        <v>0</v>
      </c>
      <c r="E85" s="31">
        <f t="shared" si="8"/>
        <v>0</v>
      </c>
      <c r="F85" s="25"/>
      <c r="G85" s="47" t="str">
        <f>IF(TRUE,"6620","LI(43,0)")</f>
        <v>6620</v>
      </c>
      <c r="H85" s="48" t="str">
        <f>IF(TRUE,"Labor Burden","LI(43,1)")</f>
        <v>Labor Burden</v>
      </c>
      <c r="I85" s="25"/>
      <c r="J85" s="30">
        <f>_xll.NSGLABAL($E$5,$G85,J$1,J$2)</f>
        <v>-21181.5</v>
      </c>
      <c r="K85" s="23">
        <f>_xll.NSGLABUD($E$5,$C$5,$G85,J$1,J$2)</f>
        <v>-20000</v>
      </c>
      <c r="L85" s="31">
        <f t="shared" si="9"/>
        <v>-1181.5</v>
      </c>
      <c r="M85" s="25"/>
      <c r="N85" s="42">
        <f>_xll.NSGLABUD($E$5,$C$5,$G85,N$1,N$2)</f>
        <v>-56000</v>
      </c>
      <c r="O85" s="25"/>
      <c r="P85" s="30">
        <f>_xll.NSGLABAL($E$5,$G85,P$1,P$2)</f>
        <v>0</v>
      </c>
      <c r="Q85" s="23">
        <f t="shared" si="10"/>
        <v>-21181.5</v>
      </c>
      <c r="R85" s="45">
        <f t="shared" si="11"/>
        <v>0</v>
      </c>
    </row>
    <row r="86" spans="2:19" s="6" customFormat="1" ht="21" customHeight="1" x14ac:dyDescent="0.25">
      <c r="B86" s="5"/>
      <c r="C86" s="30">
        <f>_xll.NSGLABAL($E$5,$G86,E$1,E$2)</f>
        <v>0</v>
      </c>
      <c r="D86" s="23">
        <f>_xll.NSGLABUD($E$5,$C$5,$G86,E$1,E$2)</f>
        <v>0</v>
      </c>
      <c r="E86" s="31">
        <f t="shared" si="8"/>
        <v>0</v>
      </c>
      <c r="F86" s="25"/>
      <c r="G86" s="47" t="str">
        <f>IF(TRUE,"6630","LI(44,0)")</f>
        <v>6630</v>
      </c>
      <c r="H86" s="48" t="str">
        <f>IF(TRUE,"Machine","LI(44,1)")</f>
        <v>Machine</v>
      </c>
      <c r="I86" s="25"/>
      <c r="J86" s="30">
        <f>_xll.NSGLABAL($E$5,$G86,J$1,J$2)</f>
        <v>-1131</v>
      </c>
      <c r="K86" s="23">
        <f>_xll.NSGLABUD($E$5,$C$5,$G86,J$1,J$2)</f>
        <v>0</v>
      </c>
      <c r="L86" s="31">
        <f t="shared" si="9"/>
        <v>-1131</v>
      </c>
      <c r="M86" s="25"/>
      <c r="N86" s="42">
        <f>_xll.NSGLABUD($E$5,$C$5,$G86,N$1,N$2)</f>
        <v>0</v>
      </c>
      <c r="O86" s="25"/>
      <c r="P86" s="30">
        <f>_xll.NSGLABAL($E$5,$G86,P$1,P$2)</f>
        <v>0</v>
      </c>
      <c r="Q86" s="23">
        <f t="shared" si="10"/>
        <v>-1131</v>
      </c>
      <c r="R86" s="45">
        <f t="shared" si="11"/>
        <v>0</v>
      </c>
    </row>
    <row r="87" spans="2:19" s="6" customFormat="1" ht="21" customHeight="1" x14ac:dyDescent="0.25">
      <c r="B87" s="5"/>
      <c r="C87" s="32">
        <f>_xll.NSGLABAL($E$5,$G87,E$1,E$2)</f>
        <v>0</v>
      </c>
      <c r="D87" s="33">
        <f>_xll.NSGLABUD($E$5,$C$5,$G87,E$1,E$2)</f>
        <v>0</v>
      </c>
      <c r="E87" s="34">
        <f t="shared" si="8"/>
        <v>0</v>
      </c>
      <c r="F87" s="25"/>
      <c r="G87" s="49" t="str">
        <f>IF(TRUE,"6640","LI(45,0)")</f>
        <v>6640</v>
      </c>
      <c r="H87" s="50" t="str">
        <f>IF(TRUE,"Machine Burden","LI(45,1)")</f>
        <v>Machine Burden</v>
      </c>
      <c r="I87" s="25"/>
      <c r="J87" s="32">
        <f>_xll.NSGLABAL($E$5,$G87,J$1,J$2)</f>
        <v>-916</v>
      </c>
      <c r="K87" s="33">
        <f>_xll.NSGLABUD($E$5,$C$5,$G87,J$1,J$2)</f>
        <v>0</v>
      </c>
      <c r="L87" s="34">
        <f t="shared" si="9"/>
        <v>-916</v>
      </c>
      <c r="M87" s="25"/>
      <c r="N87" s="43">
        <f>_xll.NSGLABUD($E$5,$C$5,$G87,N$1,N$2)</f>
        <v>0</v>
      </c>
      <c r="O87" s="25"/>
      <c r="P87" s="32">
        <f>_xll.NSGLABAL($E$5,$G87,P$1,P$2)</f>
        <v>0</v>
      </c>
      <c r="Q87" s="33">
        <f t="shared" si="10"/>
        <v>-916</v>
      </c>
      <c r="R87" s="46">
        <f t="shared" si="11"/>
        <v>0</v>
      </c>
    </row>
    <row r="88" spans="2:19" s="6" customFormat="1" ht="7.5" customHeight="1" x14ac:dyDescent="0.25">
      <c r="B88" s="5"/>
      <c r="C88" s="23"/>
      <c r="D88" s="23"/>
      <c r="E88" s="23"/>
      <c r="F88" s="23"/>
      <c r="G88" s="24"/>
      <c r="H88" s="2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5"/>
    </row>
    <row r="89" spans="2:19" s="3" customFormat="1" ht="19.5" customHeight="1" x14ac:dyDescent="0.25">
      <c r="B89" s="8"/>
      <c r="C89" s="68">
        <f>SUM(C42:C87)</f>
        <v>3006248.4499999997</v>
      </c>
      <c r="D89" s="69">
        <f>SUM(D42:D87)</f>
        <v>353111.15</v>
      </c>
      <c r="E89" s="72">
        <f>SUM(E42:E87)</f>
        <v>2653137.2999999998</v>
      </c>
      <c r="F89" s="23"/>
      <c r="G89" s="73" t="s">
        <v>16</v>
      </c>
      <c r="H89" s="74" t="s">
        <v>3</v>
      </c>
      <c r="I89" s="23"/>
      <c r="J89" s="68">
        <f>SUM(J42:J87)</f>
        <v>10548240.090000002</v>
      </c>
      <c r="K89" s="69">
        <f>SUM(K42:K87)</f>
        <v>1274951.0999999999</v>
      </c>
      <c r="L89" s="72">
        <f>SUM(L42:L87)</f>
        <v>9273288.9900000002</v>
      </c>
      <c r="M89" s="23"/>
      <c r="N89" s="71">
        <f>SUM(N42:N87)</f>
        <v>3867889.2800000003</v>
      </c>
      <c r="O89" s="23"/>
      <c r="P89" s="68">
        <f>SUM(P42:P87)</f>
        <v>90483.92</v>
      </c>
      <c r="Q89" s="69">
        <f>J89-P89</f>
        <v>10457756.170000002</v>
      </c>
      <c r="R89" s="70"/>
      <c r="S89" s="4"/>
    </row>
    <row r="90" spans="2:19" s="6" customFormat="1" ht="7.5" customHeight="1" x14ac:dyDescent="0.25">
      <c r="B90" s="5"/>
      <c r="C90" s="23"/>
      <c r="D90" s="23"/>
      <c r="E90" s="23"/>
      <c r="F90" s="23"/>
      <c r="G90" s="24"/>
      <c r="H90" s="2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5"/>
    </row>
    <row r="91" spans="2:19" s="3" customFormat="1" ht="19.5" customHeight="1" x14ac:dyDescent="0.25">
      <c r="B91" s="8"/>
      <c r="C91" s="68">
        <f>C40-C89</f>
        <v>385856.37999999942</v>
      </c>
      <c r="D91" s="69">
        <f>D40-D89</f>
        <v>128313.15999999992</v>
      </c>
      <c r="E91" s="72">
        <f>E40-E89</f>
        <v>257543.21999999788</v>
      </c>
      <c r="F91" s="23"/>
      <c r="G91" s="73" t="s">
        <v>16</v>
      </c>
      <c r="H91" s="74" t="s">
        <v>4</v>
      </c>
      <c r="I91" s="23"/>
      <c r="J91" s="68">
        <f>J40-J89</f>
        <v>-18412846.900000006</v>
      </c>
      <c r="K91" s="69">
        <f>K40-K89</f>
        <v>2466392.9200000009</v>
      </c>
      <c r="L91" s="72">
        <f>L40-L89</f>
        <v>-20879239.820000008</v>
      </c>
      <c r="M91" s="23"/>
      <c r="N91" s="71">
        <f>N40-N89</f>
        <v>6008697.1600000011</v>
      </c>
      <c r="O91" s="23"/>
      <c r="P91" s="68">
        <f>P40-P89</f>
        <v>593559.99</v>
      </c>
      <c r="Q91" s="69">
        <f>J91-P91</f>
        <v>-19006406.890000004</v>
      </c>
      <c r="R91" s="70"/>
      <c r="S91" s="4"/>
    </row>
    <row r="92" spans="2:19" s="6" customFormat="1" ht="7.5" customHeight="1" x14ac:dyDescent="0.25">
      <c r="B92" s="5"/>
      <c r="C92" s="56"/>
      <c r="D92" s="56"/>
      <c r="E92" s="56"/>
      <c r="F92" s="23"/>
      <c r="G92" s="57"/>
      <c r="H92" s="57"/>
      <c r="I92" s="23"/>
      <c r="J92" s="56"/>
      <c r="K92" s="56"/>
      <c r="L92" s="56"/>
      <c r="M92" s="23"/>
      <c r="N92" s="56"/>
      <c r="O92" s="23"/>
      <c r="P92" s="56"/>
      <c r="Q92" s="56"/>
      <c r="R92" s="56"/>
      <c r="S92" s="5"/>
    </row>
    <row r="93" spans="2:19" s="6" customFormat="1" ht="21" hidden="1" customHeight="1" x14ac:dyDescent="0.25">
      <c r="B93" s="5"/>
      <c r="C93" s="27">
        <f>-_xll.NSGLABAL($E$5,$G93,E$1,E$2)</f>
        <v>0</v>
      </c>
      <c r="D93" s="28">
        <f>_xll.NSGLABUD($E$5,$C$5,$G93,E$1,E$2)</f>
        <v>0</v>
      </c>
      <c r="E93" s="29">
        <f t="shared" ref="E93:E100" si="12">C93-D93</f>
        <v>0</v>
      </c>
      <c r="F93" s="25"/>
      <c r="G93" s="51" t="str">
        <f>IF(TRUE,"8010","LI(0,0)")</f>
        <v>8010</v>
      </c>
      <c r="H93" s="52" t="str">
        <f>IF(TRUE,"Interest Income","LI(0,1)")</f>
        <v>Interest Income</v>
      </c>
      <c r="I93" s="25"/>
      <c r="J93" s="27">
        <f>-_xll.NSGLABAL($E$5,$G93,J$1,J$2)</f>
        <v>0</v>
      </c>
      <c r="K93" s="28">
        <f>_xll.NSGLABUD($E$5,$C$5,$G93,J$1,J$2)</f>
        <v>0</v>
      </c>
      <c r="L93" s="29">
        <f t="shared" ref="L93:L100" si="13">J93-K93</f>
        <v>0</v>
      </c>
      <c r="M93" s="25"/>
      <c r="N93" s="41">
        <f>_xll.NSGLABUD($E$5,$C$5,$G93,N$1,N$2)</f>
        <v>0</v>
      </c>
      <c r="O93" s="25"/>
      <c r="P93" s="27">
        <f>-_xll.NSGLABAL($E$5,$G93,P$1,P$2)</f>
        <v>0</v>
      </c>
      <c r="Q93" s="28">
        <f t="shared" ref="Q93:Q100" si="14">J93-P93</f>
        <v>0</v>
      </c>
      <c r="R93" s="44">
        <f t="shared" ref="R93:R100" si="15">IFERROR(Q93/P93*100, 0)</f>
        <v>0</v>
      </c>
    </row>
    <row r="94" spans="2:19" s="6" customFormat="1" ht="21" hidden="1" customHeight="1" x14ac:dyDescent="0.25">
      <c r="B94" s="5"/>
      <c r="C94" s="30">
        <f>-_xll.NSGLABAL($E$5,$G94,E$1,E$2)</f>
        <v>0</v>
      </c>
      <c r="D94" s="23">
        <f>_xll.NSGLABUD($E$5,$C$5,$G94,E$1,E$2)</f>
        <v>0</v>
      </c>
      <c r="E94" s="31">
        <f t="shared" si="12"/>
        <v>0</v>
      </c>
      <c r="F94" s="25"/>
      <c r="G94" s="47" t="str">
        <f>IF(TRUE,"8015","LI(1,0)")</f>
        <v>8015</v>
      </c>
      <c r="H94" s="48" t="str">
        <f>IF(TRUE,"Finance Charge Income","LI(1,1)")</f>
        <v>Finance Charge Income</v>
      </c>
      <c r="I94" s="25"/>
      <c r="J94" s="30">
        <f>-_xll.NSGLABAL($E$5,$G94,J$1,J$2)</f>
        <v>0</v>
      </c>
      <c r="K94" s="23">
        <f>_xll.NSGLABUD($E$5,$C$5,$G94,J$1,J$2)</f>
        <v>0</v>
      </c>
      <c r="L94" s="31">
        <f t="shared" si="13"/>
        <v>0</v>
      </c>
      <c r="M94" s="25"/>
      <c r="N94" s="42">
        <f>_xll.NSGLABUD($E$5,$C$5,$G94,N$1,N$2)</f>
        <v>0</v>
      </c>
      <c r="O94" s="25"/>
      <c r="P94" s="30">
        <f>-_xll.NSGLABAL($E$5,$G94,P$1,P$2)</f>
        <v>0</v>
      </c>
      <c r="Q94" s="23">
        <f t="shared" si="14"/>
        <v>0</v>
      </c>
      <c r="R94" s="45">
        <f t="shared" si="15"/>
        <v>0</v>
      </c>
    </row>
    <row r="95" spans="2:19" s="6" customFormat="1" ht="21" hidden="1" customHeight="1" x14ac:dyDescent="0.25">
      <c r="B95" s="5"/>
      <c r="C95" s="30">
        <f>-_xll.NSGLABAL($E$5,$G95,E$1,E$2)</f>
        <v>0</v>
      </c>
      <c r="D95" s="23">
        <f>_xll.NSGLABUD($E$5,$C$5,$G95,E$1,E$2)</f>
        <v>0</v>
      </c>
      <c r="E95" s="31">
        <f t="shared" si="12"/>
        <v>0</v>
      </c>
      <c r="F95" s="25"/>
      <c r="G95" s="47" t="str">
        <f>IF(TRUE,"8020","LI(2,0)")</f>
        <v>8020</v>
      </c>
      <c r="H95" s="48" t="str">
        <f>IF(TRUE,"Dividend Income","LI(2,1)")</f>
        <v>Dividend Income</v>
      </c>
      <c r="I95" s="25"/>
      <c r="J95" s="30">
        <f>-_xll.NSGLABAL($E$5,$G95,J$1,J$2)</f>
        <v>0</v>
      </c>
      <c r="K95" s="23">
        <f>_xll.NSGLABUD($E$5,$C$5,$G95,J$1,J$2)</f>
        <v>0</v>
      </c>
      <c r="L95" s="31">
        <f t="shared" si="13"/>
        <v>0</v>
      </c>
      <c r="M95" s="25"/>
      <c r="N95" s="42">
        <f>_xll.NSGLABUD($E$5,$C$5,$G95,N$1,N$2)</f>
        <v>0</v>
      </c>
      <c r="O95" s="25"/>
      <c r="P95" s="30">
        <f>-_xll.NSGLABAL($E$5,$G95,P$1,P$2)</f>
        <v>0</v>
      </c>
      <c r="Q95" s="23">
        <f t="shared" si="14"/>
        <v>0</v>
      </c>
      <c r="R95" s="45">
        <f t="shared" si="15"/>
        <v>0</v>
      </c>
    </row>
    <row r="96" spans="2:19" s="6" customFormat="1" ht="21" customHeight="1" x14ac:dyDescent="0.25">
      <c r="B96" s="5"/>
      <c r="C96" s="30">
        <f>_xll.NSGLABAL($E$5,$G96,E$1,E$2)</f>
        <v>0</v>
      </c>
      <c r="D96" s="23">
        <f>_xll.NSGLABUD($E$5,$C$5,$G96,E$1,E$2)</f>
        <v>-5000</v>
      </c>
      <c r="E96" s="31">
        <f t="shared" si="12"/>
        <v>5000</v>
      </c>
      <c r="F96" s="25"/>
      <c r="G96" s="47" t="str">
        <f>IF(TRUE,"8030","LI(3,0)")</f>
        <v>8030</v>
      </c>
      <c r="H96" s="48" t="str">
        <f>IF(TRUE,"Shipping Income","LI(3,1)")</f>
        <v>Shipping Income</v>
      </c>
      <c r="I96" s="25"/>
      <c r="J96" s="30">
        <f>-_xll.NSGLABAL($E$5,$G96,J$1,J$2)</f>
        <v>7336.63</v>
      </c>
      <c r="K96" s="23">
        <f>_xll.NSGLABUD($E$5,$C$5,$G96,J$1,J$2)</f>
        <v>-20000</v>
      </c>
      <c r="L96" s="31">
        <f t="shared" si="13"/>
        <v>27336.63</v>
      </c>
      <c r="M96" s="25"/>
      <c r="N96" s="42">
        <f>_xll.NSGLABUD($E$5,$C$5,$G96,N$1,N$2)</f>
        <v>-80500</v>
      </c>
      <c r="O96" s="25"/>
      <c r="P96" s="30">
        <f>_xll.NSGLABAL($E$5,$G96,P$1,P$2)</f>
        <v>-105</v>
      </c>
      <c r="Q96" s="23">
        <f t="shared" si="14"/>
        <v>7441.63</v>
      </c>
      <c r="R96" s="45">
        <f t="shared" si="15"/>
        <v>-7087.2666666666673</v>
      </c>
    </row>
    <row r="97" spans="2:19" s="6" customFormat="1" ht="21" customHeight="1" x14ac:dyDescent="0.25">
      <c r="B97" s="5"/>
      <c r="C97" s="30">
        <f>_xll.NSGLABAL($E$5,$G97,E$1,E$2)</f>
        <v>-10599.43</v>
      </c>
      <c r="D97" s="23">
        <f>_xll.NSGLABUD($E$5,$C$5,$G97,E$1,E$2)</f>
        <v>0</v>
      </c>
      <c r="E97" s="31">
        <f t="shared" si="12"/>
        <v>-10599.43</v>
      </c>
      <c r="F97" s="25"/>
      <c r="G97" s="47" t="str">
        <f>IF(TRUE,"8040","LI(4,0)")</f>
        <v>8040</v>
      </c>
      <c r="H97" s="48" t="str">
        <f>IF(TRUE,"Gain (loss) on Sale of Assets","LI(4,1)")</f>
        <v>Gain (loss) on Sale of Assets</v>
      </c>
      <c r="I97" s="25"/>
      <c r="J97" s="30">
        <f>-_xll.NSGLABAL($E$5,$G97,J$1,J$2)</f>
        <v>10599.43</v>
      </c>
      <c r="K97" s="23">
        <f>_xll.NSGLABUD($E$5,$C$5,$G97,J$1,J$2)</f>
        <v>0</v>
      </c>
      <c r="L97" s="31">
        <f t="shared" si="13"/>
        <v>10599.43</v>
      </c>
      <c r="M97" s="25"/>
      <c r="N97" s="42">
        <f>_xll.NSGLABUD($E$5,$C$5,$G97,N$1,N$2)</f>
        <v>0</v>
      </c>
      <c r="O97" s="25"/>
      <c r="P97" s="30">
        <f>_xll.NSGLABAL($E$5,$G97,P$1,P$2)</f>
        <v>0</v>
      </c>
      <c r="Q97" s="23">
        <f t="shared" si="14"/>
        <v>10599.43</v>
      </c>
      <c r="R97" s="45">
        <f t="shared" si="15"/>
        <v>0</v>
      </c>
    </row>
    <row r="98" spans="2:19" s="6" customFormat="1" ht="21" customHeight="1" x14ac:dyDescent="0.25">
      <c r="B98" s="5"/>
      <c r="C98" s="30">
        <f>_xll.NSGLABAL($E$5,$G98,E$1,E$2)</f>
        <v>3618.31</v>
      </c>
      <c r="D98" s="23">
        <f>_xll.NSGLABUD($E$5,$C$5,$G98,E$1,E$2)</f>
        <v>5825.49</v>
      </c>
      <c r="E98" s="31">
        <f t="shared" si="12"/>
        <v>-2207.1799999999998</v>
      </c>
      <c r="F98" s="25"/>
      <c r="G98" s="47" t="str">
        <f>IF(TRUE,"8050","LI(5,0)")</f>
        <v>8050</v>
      </c>
      <c r="H98" s="48" t="str">
        <f>IF(TRUE,"Sales Discounts","LI(5,1)")</f>
        <v>Sales Discounts</v>
      </c>
      <c r="I98" s="25"/>
      <c r="J98" s="30">
        <f>-_xll.NSGLABAL($E$5,$G98,J$1,J$2)</f>
        <v>-53743.48</v>
      </c>
      <c r="K98" s="23">
        <f>_xll.NSGLABUD($E$5,$C$5,$G98,J$1,J$2)</f>
        <v>43339.16</v>
      </c>
      <c r="L98" s="31">
        <f t="shared" si="13"/>
        <v>-97082.640000000014</v>
      </c>
      <c r="M98" s="25"/>
      <c r="N98" s="42">
        <f>_xll.NSGLABUD($E$5,$C$5,$G98,N$1,N$2)</f>
        <v>767322.34</v>
      </c>
      <c r="O98" s="25"/>
      <c r="P98" s="30">
        <f>_xll.NSGLABAL($E$5,$G98,P$1,P$2)</f>
        <v>1164.26</v>
      </c>
      <c r="Q98" s="23">
        <f t="shared" si="14"/>
        <v>-54907.740000000005</v>
      </c>
      <c r="R98" s="45">
        <f t="shared" si="15"/>
        <v>-4716.1063679934041</v>
      </c>
    </row>
    <row r="99" spans="2:19" s="6" customFormat="1" ht="21" customHeight="1" x14ac:dyDescent="0.25">
      <c r="B99" s="5"/>
      <c r="C99" s="30">
        <f>-_xll.NSGLABAL($E$5,$G99,E$1,E$2)</f>
        <v>0</v>
      </c>
      <c r="D99" s="23">
        <f>_xll.NSGLABUD($E$5,$C$5,$G99,E$1,E$2)</f>
        <v>0</v>
      </c>
      <c r="E99" s="31">
        <f t="shared" si="12"/>
        <v>0</v>
      </c>
      <c r="F99" s="25"/>
      <c r="G99" s="47" t="str">
        <f>IF(TRUE,"8060","LI(6,0)")</f>
        <v>8060</v>
      </c>
      <c r="H99" s="48" t="str">
        <f>IF(TRUE,"Purchase Discounts","LI(6,1)")</f>
        <v>Purchase Discounts</v>
      </c>
      <c r="I99" s="25"/>
      <c r="J99" s="30">
        <f>-_xll.NSGLABAL($E$5,$G99,J$1,J$2)</f>
        <v>0</v>
      </c>
      <c r="K99" s="23">
        <f>_xll.NSGLABUD($E$5,$C$5,$G99,J$1,J$2)</f>
        <v>0</v>
      </c>
      <c r="L99" s="31">
        <f t="shared" si="13"/>
        <v>0</v>
      </c>
      <c r="M99" s="25"/>
      <c r="N99" s="42">
        <f>_xll.NSGLABUD($E$5,$C$5,$G99,N$1,N$2)</f>
        <v>0</v>
      </c>
      <c r="O99" s="25"/>
      <c r="P99" s="30">
        <f>-_xll.NSGLABAL($E$5,$G99,P$1,P$2)</f>
        <v>0</v>
      </c>
      <c r="Q99" s="23">
        <f t="shared" si="14"/>
        <v>0</v>
      </c>
      <c r="R99" s="45">
        <f t="shared" si="15"/>
        <v>0</v>
      </c>
    </row>
    <row r="100" spans="2:19" s="6" customFormat="1" ht="21" hidden="1" customHeight="1" x14ac:dyDescent="0.25">
      <c r="B100" s="5"/>
      <c r="C100" s="32">
        <f>-_xll.NSGLABAL($E$5,$G100,E$1,E$2)</f>
        <v>0</v>
      </c>
      <c r="D100" s="33">
        <f>_xll.NSGLABUD($E$5,$C$5,$G100,E$1,E$2)</f>
        <v>0</v>
      </c>
      <c r="E100" s="34">
        <f t="shared" si="12"/>
        <v>0</v>
      </c>
      <c r="F100" s="25"/>
      <c r="G100" s="49" t="str">
        <f>IF(TRUE,"8070","LI(7,0)")</f>
        <v>8070</v>
      </c>
      <c r="H100" s="50" t="str">
        <f>IF(TRUE,"Penalties","LI(7,1)")</f>
        <v>Penalties</v>
      </c>
      <c r="I100" s="25"/>
      <c r="J100" s="32">
        <f>-_xll.NSGLABAL($E$5,$G100,J$1,J$2)</f>
        <v>0</v>
      </c>
      <c r="K100" s="33">
        <f>_xll.NSGLABUD($E$5,$C$5,$G100,J$1,J$2)</f>
        <v>0</v>
      </c>
      <c r="L100" s="34">
        <f t="shared" si="13"/>
        <v>0</v>
      </c>
      <c r="M100" s="25"/>
      <c r="N100" s="43">
        <f>_xll.NSGLABUD($E$5,$C$5,$G100,N$1,N$2)</f>
        <v>0</v>
      </c>
      <c r="O100" s="25"/>
      <c r="P100" s="32">
        <f>-_xll.NSGLABAL($E$5,$G100,P$1,P$2)</f>
        <v>0</v>
      </c>
      <c r="Q100" s="33">
        <f t="shared" si="14"/>
        <v>0</v>
      </c>
      <c r="R100" s="46">
        <f t="shared" si="15"/>
        <v>0</v>
      </c>
    </row>
    <row r="101" spans="2:19" s="6" customFormat="1" ht="7.5" customHeight="1" x14ac:dyDescent="0.25">
      <c r="B101" s="5"/>
      <c r="C101" s="56"/>
      <c r="D101" s="56"/>
      <c r="E101" s="56"/>
      <c r="F101" s="23"/>
      <c r="G101" s="56"/>
      <c r="H101" s="56"/>
      <c r="I101" s="23"/>
      <c r="J101" s="56"/>
      <c r="K101" s="56"/>
      <c r="L101" s="56"/>
      <c r="M101" s="23"/>
      <c r="N101" s="56"/>
      <c r="O101" s="23"/>
      <c r="P101" s="56"/>
      <c r="Q101" s="56"/>
      <c r="R101" s="56"/>
      <c r="S101" s="5"/>
    </row>
    <row r="102" spans="2:19" s="3" customFormat="1" ht="19.5" customHeight="1" x14ac:dyDescent="0.25">
      <c r="B102" s="8"/>
      <c r="C102" s="68">
        <f>SUM(C93:C100)</f>
        <v>-6981.1200000000008</v>
      </c>
      <c r="D102" s="69">
        <f>SUM(D93:D100)</f>
        <v>825.48999999999978</v>
      </c>
      <c r="E102" s="72">
        <f>SUM(E93:E100)</f>
        <v>-7806.6100000000006</v>
      </c>
      <c r="F102" s="23"/>
      <c r="G102" s="73"/>
      <c r="H102" s="74" t="s">
        <v>5</v>
      </c>
      <c r="I102" s="23"/>
      <c r="J102" s="68">
        <f>SUM(J93:J100)</f>
        <v>-35807.42</v>
      </c>
      <c r="K102" s="69">
        <f>SUM(K93:K100)</f>
        <v>23339.160000000003</v>
      </c>
      <c r="L102" s="72">
        <f>SUM(L93:L100)</f>
        <v>-59146.580000000016</v>
      </c>
      <c r="M102" s="23"/>
      <c r="N102" s="71">
        <f>SUM(N93:N100)</f>
        <v>686822.34</v>
      </c>
      <c r="O102" s="23"/>
      <c r="P102" s="68">
        <f>SUM(P93:P100)</f>
        <v>1059.26</v>
      </c>
      <c r="Q102" s="69">
        <f>J102-P102</f>
        <v>-36866.68</v>
      </c>
      <c r="R102" s="70"/>
      <c r="S102" s="4"/>
    </row>
    <row r="103" spans="2:19" s="6" customFormat="1" ht="7.5" customHeight="1" x14ac:dyDescent="0.25">
      <c r="B103" s="5"/>
      <c r="C103" s="23"/>
      <c r="D103" s="23"/>
      <c r="E103" s="23"/>
      <c r="F103" s="23"/>
      <c r="G103" s="24"/>
      <c r="H103" s="2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5"/>
    </row>
    <row r="104" spans="2:19" s="3" customFormat="1" ht="19.5" customHeight="1" x14ac:dyDescent="0.25">
      <c r="B104" s="8"/>
      <c r="C104" s="68">
        <f>C91-C102</f>
        <v>392837.49999999942</v>
      </c>
      <c r="D104" s="69">
        <f>D91-D102</f>
        <v>127487.66999999991</v>
      </c>
      <c r="E104" s="72">
        <f>E91-E102</f>
        <v>265349.82999999786</v>
      </c>
      <c r="F104" s="23"/>
      <c r="G104" s="73"/>
      <c r="H104" s="74" t="s">
        <v>6</v>
      </c>
      <c r="I104" s="23"/>
      <c r="J104" s="68">
        <f>J91-J102</f>
        <v>-18377039.480000004</v>
      </c>
      <c r="K104" s="69">
        <f>K91-K102</f>
        <v>2443053.7600000007</v>
      </c>
      <c r="L104" s="72">
        <f>L91-L102</f>
        <v>-20820093.24000001</v>
      </c>
      <c r="M104" s="23"/>
      <c r="N104" s="71">
        <f>N91-N102</f>
        <v>5321874.8200000012</v>
      </c>
      <c r="O104" s="23"/>
      <c r="P104" s="68">
        <f>P91-P102</f>
        <v>592500.73</v>
      </c>
      <c r="Q104" s="69">
        <f>J104-P104</f>
        <v>-18969540.210000005</v>
      </c>
      <c r="R104" s="70"/>
      <c r="S104" s="4"/>
    </row>
    <row r="105" spans="2:19" s="6" customFormat="1" ht="7.5" customHeight="1" x14ac:dyDescent="0.25">
      <c r="B105" s="5"/>
      <c r="C105" s="56"/>
      <c r="D105" s="56"/>
      <c r="E105" s="56"/>
      <c r="F105" s="23"/>
      <c r="G105" s="57"/>
      <c r="H105" s="57"/>
      <c r="I105" s="23"/>
      <c r="J105" s="56"/>
      <c r="K105" s="56"/>
      <c r="L105" s="56"/>
      <c r="M105" s="23"/>
      <c r="N105" s="56"/>
      <c r="O105" s="23"/>
      <c r="P105" s="56"/>
      <c r="Q105" s="56"/>
      <c r="R105" s="56"/>
      <c r="S105" s="5"/>
    </row>
    <row r="106" spans="2:19" s="9" customFormat="1" ht="21" hidden="1" customHeight="1" x14ac:dyDescent="0.25">
      <c r="B106" s="10"/>
      <c r="C106" s="27">
        <f>_xll.NSGLABAL($E$5,$G106,E$1,E$2)</f>
        <v>0</v>
      </c>
      <c r="D106" s="28">
        <f>_xll.NSGLABUD($E$5,$C$5,$G106,E$1,E$2)</f>
        <v>0</v>
      </c>
      <c r="E106" s="29">
        <f>C106-D106</f>
        <v>0</v>
      </c>
      <c r="F106" s="26"/>
      <c r="G106" s="51" t="str">
        <f>IF(TRUE,"9000","LI(0,0)")</f>
        <v>9000</v>
      </c>
      <c r="H106" s="52" t="str">
        <f>IF(TRUE,"Provision for Taxes","LI(0,1)")</f>
        <v>Provision for Taxes</v>
      </c>
      <c r="I106" s="26"/>
      <c r="J106" s="27">
        <f>-_xll.NSGLABAL($E$5,$G106,J$1,J$2)</f>
        <v>0</v>
      </c>
      <c r="K106" s="28">
        <f>_xll.NSGLABUD($E$5,$C$5,$G106,J$1,J$2)</f>
        <v>0</v>
      </c>
      <c r="L106" s="29">
        <f>J106-K106</f>
        <v>0</v>
      </c>
      <c r="M106" s="26"/>
      <c r="N106" s="41">
        <f>_xll.NSGLABUD($E$5,$C$5,$G106,N$1,N$2)</f>
        <v>0</v>
      </c>
      <c r="O106" s="26"/>
      <c r="P106" s="27">
        <f>_xll.NSGLABAL($E$5,$G106,P$1,P$2)</f>
        <v>0</v>
      </c>
      <c r="Q106" s="28">
        <f>J106-P106</f>
        <v>0</v>
      </c>
      <c r="R106" s="29">
        <f>IFERROR(Q106/P106*100, 0)</f>
        <v>0</v>
      </c>
    </row>
    <row r="107" spans="2:19" s="9" customFormat="1" ht="21" hidden="1" customHeight="1" x14ac:dyDescent="0.25">
      <c r="B107" s="10"/>
      <c r="C107" s="32">
        <f>_xll.NSGLABAL($E$5,$G107,E$1,E$2)</f>
        <v>0</v>
      </c>
      <c r="D107" s="33">
        <f>_xll.NSGLABUD($E$5,$C$5,$G107,E$1,E$2)</f>
        <v>0</v>
      </c>
      <c r="E107" s="34">
        <f>C107-D107</f>
        <v>0</v>
      </c>
      <c r="F107" s="26"/>
      <c r="G107" s="49" t="str">
        <f>IF(TRUE,"9999","LI(1,0)")</f>
        <v>9999</v>
      </c>
      <c r="H107" s="50" t="str">
        <f>IF(TRUE,"Ask My Accountant","LI(1,1)")</f>
        <v>Ask My Accountant</v>
      </c>
      <c r="I107" s="26"/>
      <c r="J107" s="32">
        <f>-_xll.NSGLABAL($E$5,$G107,J$1,J$2)</f>
        <v>0</v>
      </c>
      <c r="K107" s="33">
        <f>_xll.NSGLABUD($E$5,$C$5,$G107,J$1,J$2)</f>
        <v>0</v>
      </c>
      <c r="L107" s="34">
        <f>J107-K107</f>
        <v>0</v>
      </c>
      <c r="M107" s="26"/>
      <c r="N107" s="43">
        <f>_xll.NSGLABUD($E$5,$C$5,$G107,N$1,N$2)</f>
        <v>0</v>
      </c>
      <c r="O107" s="26"/>
      <c r="P107" s="32">
        <f>_xll.NSGLABAL($E$5,$G107,P$1,P$2)</f>
        <v>0</v>
      </c>
      <c r="Q107" s="33">
        <f>J107-P107</f>
        <v>0</v>
      </c>
      <c r="R107" s="34">
        <f>IFERROR(Q107/P107*100, 0)</f>
        <v>0</v>
      </c>
    </row>
    <row r="108" spans="2:19" s="6" customFormat="1" ht="7.5" customHeight="1" x14ac:dyDescent="0.25">
      <c r="B108" s="5"/>
      <c r="C108" s="56"/>
      <c r="D108" s="56"/>
      <c r="E108" s="56"/>
      <c r="F108" s="23"/>
      <c r="G108" s="56"/>
      <c r="H108" s="56"/>
      <c r="I108" s="23"/>
      <c r="J108" s="56"/>
      <c r="K108" s="56"/>
      <c r="L108" s="56"/>
      <c r="M108" s="23"/>
      <c r="N108" s="56"/>
      <c r="O108" s="23"/>
      <c r="P108" s="56"/>
      <c r="Q108" s="56"/>
      <c r="R108" s="56"/>
      <c r="S108" s="5"/>
    </row>
    <row r="109" spans="2:19" s="3" customFormat="1" ht="19.5" customHeight="1" x14ac:dyDescent="0.25">
      <c r="B109" s="8"/>
      <c r="C109" s="68">
        <f>C104-C106-C107</f>
        <v>392837.49999999942</v>
      </c>
      <c r="D109" s="69">
        <f>D104-D106-D107</f>
        <v>127487.66999999991</v>
      </c>
      <c r="E109" s="72">
        <f>E104-E106-E107</f>
        <v>265349.82999999786</v>
      </c>
      <c r="F109" s="23"/>
      <c r="G109" s="73"/>
      <c r="H109" s="74" t="s">
        <v>7</v>
      </c>
      <c r="I109" s="23"/>
      <c r="J109" s="68">
        <f>J104-J106-J107</f>
        <v>-18377039.480000004</v>
      </c>
      <c r="K109" s="69">
        <f>K104-K106-K107</f>
        <v>2443053.7600000007</v>
      </c>
      <c r="L109" s="72">
        <f>L104-L106-L107</f>
        <v>-20820093.24000001</v>
      </c>
      <c r="M109" s="23"/>
      <c r="N109" s="71">
        <f>N104-N106-N107</f>
        <v>5321874.8200000012</v>
      </c>
      <c r="O109" s="23"/>
      <c r="P109" s="68">
        <f>P104-P106-P107</f>
        <v>592500.73</v>
      </c>
      <c r="Q109" s="69">
        <f>J109-P109</f>
        <v>-18969540.210000005</v>
      </c>
      <c r="R109" s="70"/>
      <c r="S109" s="4"/>
    </row>
  </sheetData>
  <mergeCells count="7">
    <mergeCell ref="P6:R6"/>
    <mergeCell ref="E5:N5"/>
    <mergeCell ref="E4:N4"/>
    <mergeCell ref="C4:D4"/>
    <mergeCell ref="C5:D5"/>
    <mergeCell ref="C6:E6"/>
    <mergeCell ref="J6:L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6FF2F12A3694FB6E173118C58ABFF" ma:contentTypeVersion="3" ma:contentTypeDescription="Create a new document." ma:contentTypeScope="" ma:versionID="f7305974b403178585485e77ba8ece11">
  <xsd:schema xmlns:xsd="http://www.w3.org/2001/XMLSchema" xmlns:xs="http://www.w3.org/2001/XMLSchema" xmlns:p="http://schemas.microsoft.com/office/2006/metadata/properties" xmlns:ns2="2504ec5a-3c83-4ff5-945b-9a0e66d429fb" targetNamespace="http://schemas.microsoft.com/office/2006/metadata/properties" ma:root="true" ma:fieldsID="3af73078c6a68c5264332b4d3da382b7" ns2:_="">
    <xsd:import namespace="2504ec5a-3c83-4ff5-945b-9a0e66d42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4ec5a-3c83-4ff5-945b-9a0e66d429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078B6D-EA2D-428A-B9B5-F3418945792F}"/>
</file>

<file path=customXml/itemProps2.xml><?xml version="1.0" encoding="utf-8"?>
<ds:datastoreItem xmlns:ds="http://schemas.openxmlformats.org/officeDocument/2006/customXml" ds:itemID="{A404A5EF-09CC-465C-B282-01649AB005CB}"/>
</file>

<file path=customXml/itemProps3.xml><?xml version="1.0" encoding="utf-8"?>
<ds:datastoreItem xmlns:ds="http://schemas.openxmlformats.org/officeDocument/2006/customXml" ds:itemID="{F664449F-87EE-4AFF-AF7F-9DA413AABE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Variance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Miles</dc:creator>
  <cp:lastModifiedBy>Phil Jose</cp:lastModifiedBy>
  <dcterms:created xsi:type="dcterms:W3CDTF">2013-02-28T16:21:34Z</dcterms:created>
  <dcterms:modified xsi:type="dcterms:W3CDTF">2017-05-08T13:50:10Z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0x010100DB16FF2F12A3694FB6E173118C58ABFF</vt:lpwstr>
  </property>
</Properties>
</file>