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bookViews>
    <workbookView xWindow="0" yWindow="0" windowWidth="28800" windowHeight="12435"/>
  </bookViews>
  <sheets>
    <sheet name="Income Statement" sheetId="1" r:id="rId1"/>
  </sheets>
  <definedNames>
    <definedName name="REP7CR" localSheetId="0" hidden="1">'Income Statement'!$E:$P</definedName>
    <definedName name="REP7P01" hidden="1">'Income Statement'!$F$3</definedName>
    <definedName name="SuppressionOnTriggers" localSheetId="0" hidden="1">FALSE</definedName>
    <definedName name="SuppressRows" localSheetId="0" hidden="1">TRUE</definedName>
    <definedName name="SupressPressed" localSheetId="0" hidden="1">FALSE</definedName>
    <definedName name="VersionNumber" hidden="1">"4.7.6311"</definedName>
    <definedName name="xdif_AutomationMode" hidden="1">"AutomationSheet"</definedName>
    <definedName name="xdif_AutomationRange" hidden="1">#REF!</definedName>
    <definedName name="xdif_AutomationType01" hidden="1">"MultipleSheets"</definedName>
    <definedName name="xdif_RefreshIncludeLists" hidden="1">FALSE</definedName>
    <definedName name="xdif_SheetToAutomate01" hidden="1">'Income Statement'!$B$1:$R$38</definedName>
    <definedName name="xdif635917481634659871__dataRowCount" localSheetId="0" hidden="1">192</definedName>
    <definedName name="xdif635917481634659871__userDefinedName" localSheetId="0" hidden="1">"Periods 1"</definedName>
    <definedName name="xdif635917481634659871_AboveLeft" localSheetId="0" hidden="1">TRUE</definedName>
    <definedName name="xdif635917481634659871_AboveLeftCells" localSheetId="0" hidden="1">1</definedName>
    <definedName name="xdif635917481634659871_AutoFilter" localSheetId="0" hidden="1">FALSE</definedName>
    <definedName name="xdif635917481634659871_Autofit" localSheetId="0" hidden="1">TRUE</definedName>
    <definedName name="xdif635917481634659871_BelowRight" localSheetId="0" hidden="1">TRUE</definedName>
    <definedName name="xdif635917481634659871_BelowRightCells" localSheetId="0" hidden="1">1</definedName>
    <definedName name="xdif635917481634659871_DestinationRange" localSheetId="0" hidden="1">'Income Statement'!$B$4</definedName>
    <definedName name="xdif635917481634659871_DistinctValues" localSheetId="0" hidden="1">FALSE</definedName>
    <definedName name="xdif635917481634659871_ObjectType" localSheetId="0" hidden="1">"Validation"</definedName>
    <definedName name="xdif635917481634659871_ParameterName00" localSheetId="0" hidden="1">"NSParentPeriod"</definedName>
    <definedName name="xdif635917481634659871_ParameterName01" localSheetId="0" hidden="1">"NSPeriodType"</definedName>
    <definedName name="xdif635917481634659871_RefreshMode" localSheetId="0" hidden="1">"Automatic"</definedName>
    <definedName name="xdif635917481634659871_SelectAliasItem01" localSheetId="0" hidden="1">"Period"</definedName>
    <definedName name="xdif635917481634659871_SelectColumnFormulaItem01" localSheetId="0" hidden="1">"="</definedName>
    <definedName name="xdif635917481634659871_SelectColumnNameItem01" localSheetId="0" hidden="1">"NAME"</definedName>
    <definedName name="xdif635917481634659871_SelectFormatStringItem01" localSheetId="0" hidden="1">"{@}"</definedName>
    <definedName name="xdif635917481634659871_SelectGroupItem01" localSheetId="0" hidden="1">"="</definedName>
    <definedName name="xdif635917481634659871_SelectItemRange01" localSheetId="0" hidden="1">'Income Statement'!$B$4</definedName>
    <definedName name="xdif635917481634659871_SelectItemType01" localSheetId="0" hidden="1">"Value"</definedName>
    <definedName name="xdif635917481634659871_SelectPathItem01" localSheetId="0" hidden="1">".ACCOUNTING_PERIODS,Accounting Periods"</definedName>
    <definedName name="xdif635917481634659871_SelectVisibleItem01" localSheetId="0" hidden="1">TRUE</definedName>
    <definedName name="xdif635917481634659871_ShowColumnHeaders" localSheetId="0" hidden="1">FALSE</definedName>
    <definedName name="xdif635917481634659871_SortAliasItem01" localSheetId="0" hidden="1">"Period Start Date"</definedName>
    <definedName name="xdif635917481634659871_SortAliasItem02" localSheetId="0" hidden="1">"Full Name"</definedName>
    <definedName name="xdif635917481634659871_SortColumnNameItem01" localSheetId="0" hidden="1">"STARTING"</definedName>
    <definedName name="xdif635917481634659871_SortColumnNameItem02" localSheetId="0" hidden="1">"FULL_NAME"</definedName>
    <definedName name="xdif635917481634659871_SortOrderByItem01" localSheetId="0" hidden="1">"Asc"</definedName>
    <definedName name="xdif635917481634659871_SortOrderByItem02" localSheetId="0" hidden="1">"Asc"</definedName>
    <definedName name="xdif635917481634659871_SortPathItem01" localSheetId="0" hidden="1">".ACCOUNTING_PERIODS,Accounting Periods"</definedName>
    <definedName name="xdif635917481634659871_SortPathItem02" localSheetId="0" hidden="1">".ACCOUNTING_PERIODS,Accounting Periods"</definedName>
    <definedName name="xdif635917481634659871_SourceObject" localSheetId="0" hidden="1">"NSAccountingPeriods"</definedName>
    <definedName name="xdif635917481634659871_UserValue00" localSheetId="0" hidden="1">"="</definedName>
    <definedName name="xdif635917481634659871_UserValue01" localSheetId="0" hidden="1">"="</definedName>
    <definedName name="xdif635917489794810797__dataRowCount" localSheetId="0" hidden="1">6</definedName>
    <definedName name="xdif635917489794810797__userDefinedName" localSheetId="0" hidden="1">"Budget Categories 1"</definedName>
    <definedName name="xdif635917489794810797_AboveLeft" localSheetId="0" hidden="1">TRUE</definedName>
    <definedName name="xdif635917489794810797_AboveLeftCells" localSheetId="0" hidden="1">1</definedName>
    <definedName name="xdif635917489794810797_AutoFilter" localSheetId="0" hidden="1">FALSE</definedName>
    <definedName name="xdif635917489794810797_Autofit" localSheetId="0" hidden="1">TRUE</definedName>
    <definedName name="xdif635917489794810797_BelowRight" localSheetId="0" hidden="1">TRUE</definedName>
    <definedName name="xdif635917489794810797_BelowRightCells" localSheetId="0" hidden="1">1</definedName>
    <definedName name="xdif635917489794810797_DestinationRange" localSheetId="0" hidden="1">'Income Statement'!$B$3</definedName>
    <definedName name="xdif635917489794810797_DistinctValues" localSheetId="0" hidden="1">FALSE</definedName>
    <definedName name="xdif635917489794810797_ObjectType" localSheetId="0" hidden="1">"Validation"</definedName>
    <definedName name="xdif635917489794810797_ParameterName00" localSheetId="0" hidden="1">"NSIncludeInactive"</definedName>
    <definedName name="xdif635917489794810797_RefreshMode" localSheetId="0" hidden="1">"Automatic"</definedName>
    <definedName name="xdif635917489794810797_SelectAliasItem01" localSheetId="0" hidden="1">"Budget Name"</definedName>
    <definedName name="xdif635917489794810797_SelectColumnFormulaItem01" localSheetId="0" hidden="1">"="</definedName>
    <definedName name="xdif635917489794810797_SelectColumnNameItem01" localSheetId="0" hidden="1">"NAME"</definedName>
    <definedName name="xdif635917489794810797_SelectFormatStringItem01" localSheetId="0" hidden="1">"{}"</definedName>
    <definedName name="xdif635917489794810797_SelectGroupItem01" localSheetId="0" hidden="1">"="</definedName>
    <definedName name="xdif635917489794810797_SelectItemRange01" localSheetId="0" hidden="1">'Income Statement'!$B$3</definedName>
    <definedName name="xdif635917489794810797_SelectItemType01" localSheetId="0" hidden="1">"Value"</definedName>
    <definedName name="xdif635917489794810797_SelectPathItem01" localSheetId="0" hidden="1">".BUDGET_CATEGORY,Budget Category"</definedName>
    <definedName name="xdif635917489794810797_SelectVisibleItem01" localSheetId="0" hidden="1">TRUE</definedName>
    <definedName name="xdif635917489794810797_ShowColumnHeaders" localSheetId="0" hidden="1">FALSE</definedName>
    <definedName name="xdif635917489794810797_SortAliasItem01" localSheetId="0" hidden="1">"Budget Name"</definedName>
    <definedName name="xdif635917489794810797_SortColumnNameItem01" localSheetId="0" hidden="1">"NAME"</definedName>
    <definedName name="xdif635917489794810797_SortOrderByItem01" localSheetId="0" hidden="1">"Asc"</definedName>
    <definedName name="xdif635917489794810797_SortPathItem01" localSheetId="0" hidden="1">".BUDGET_CATEGORY,Budget Category"</definedName>
    <definedName name="xdif635917489794810797_SourceObject" localSheetId="0" hidden="1">"NSBudgetCategory"</definedName>
    <definedName name="xdif635917489794810797_UserValue00" localSheetId="0" hidden="1">"="</definedName>
    <definedName name="xdif635931415513652373__dataRowCount" localSheetId="0" hidden="1">9</definedName>
    <definedName name="xdif635931415513652373__userDefinedName" localSheetId="0" hidden="1">"Subsidiaries 1"</definedName>
    <definedName name="xdif635931415513652373_AboveLeft" localSheetId="0" hidden="1">TRUE</definedName>
    <definedName name="xdif635931415513652373_AboveLeftCells" localSheetId="0" hidden="1">1</definedName>
    <definedName name="xdif635931415513652373_AutoFilter" localSheetId="0" hidden="1">FALSE</definedName>
    <definedName name="xdif635931415513652373_Autofit" localSheetId="0" hidden="1">TRUE</definedName>
    <definedName name="xdif635931415513652373_BelowRight" localSheetId="0" hidden="1">TRUE</definedName>
    <definedName name="xdif635931415513652373_BelowRightCells" localSheetId="0" hidden="1">1</definedName>
    <definedName name="xdif635931415513652373_DestinationRange" localSheetId="0" hidden="1">'Income Statement'!$F$3</definedName>
    <definedName name="xdif635931415513652373_ObjectType" localSheetId="0" hidden="1">"Validation"</definedName>
    <definedName name="xdif635931415513652373_ParameterName00" localSheetId="0" hidden="1">"NSSubsidiary"</definedName>
    <definedName name="xdif635931415513652373_ParameterName01" localSheetId="0" hidden="1">"NSParentSubsidiary"</definedName>
    <definedName name="xdif635931415513652373_ParameterName02" localSheetId="0" hidden="1">"NSIncludeInactive"</definedName>
    <definedName name="xdif635931415513652373_ParameterName03" localSheetId="0" hidden="1">"NSIncludeConsolidated"</definedName>
    <definedName name="xdif635931415513652373_RefreshMode" localSheetId="0" hidden="1">"Automatic"</definedName>
    <definedName name="xdif635931415513652373_ShowColumnHeaders" localSheetId="0" hidden="1">FALSE</definedName>
    <definedName name="xdif635931415513652373_SourceObject" localSheetId="0" hidden="1">"NSSubsidiaries"</definedName>
    <definedName name="xdif635931415513652373_UserValue00" localSheetId="0" hidden="1">"="</definedName>
    <definedName name="xdif635931415513652373_UserValue01" localSheetId="0" hidden="1">"="</definedName>
    <definedName name="xdif635931415513652373_UserValue02" localSheetId="0" hidden="1">"="</definedName>
    <definedName name="xdif635931415513652373_UserValue03" localSheetId="0" hidden="1">"="</definedName>
    <definedName name="xdif635931415514589820__dataRowCount" localSheetId="0" hidden="1">27</definedName>
    <definedName name="xdif635931415514589820__userDefinedName" localSheetId="0" hidden="1">"Accounts (by Number) 1"</definedName>
    <definedName name="xdif635931415514589820_AboveLeft" localSheetId="0" hidden="1">TRUE</definedName>
    <definedName name="xdif635931415514589820_AboveLeftCells" localSheetId="0" hidden="1">1</definedName>
    <definedName name="xdif635931415514589820_AutoFilter" localSheetId="0" hidden="1">FALSE</definedName>
    <definedName name="xdif635931415514589820_Autofit" localSheetId="0" hidden="1">TRUE</definedName>
    <definedName name="xdif635931415514589820_BelowRight" localSheetId="0" hidden="1">TRUE</definedName>
    <definedName name="xdif635931415514589820_BelowRightCells" localSheetId="0" hidden="1">1</definedName>
    <definedName name="xdif635931415514589820_DestinationRange" localSheetId="0" hidden="1">'Income Statement'!$B$7:$C$36</definedName>
    <definedName name="xdif635931415514589820_DistinctValues" localSheetId="0" hidden="1">FALSE</definedName>
    <definedName name="xdif635931415514589820_ObjectType" localSheetId="0" hidden="1">"ListVertical"</definedName>
    <definedName name="xdif635931415514589820_ParameterName00" localSheetId="0" hidden="1">"NSSubsidiary"</definedName>
    <definedName name="xdif635931415514589820_ParameterName01" localSheetId="0" hidden="1">"NSAccountNumber"</definedName>
    <definedName name="xdif635931415514589820_ParameterName02" localSheetId="0" hidden="1">"NSAccountNumberEx"</definedName>
    <definedName name="xdif635931415514589820_ParameterName03" localSheetId="0" hidden="1">"NSIncludeInactive"</definedName>
    <definedName name="xdif635931415514589820_RefreshMode" localSheetId="0" hidden="1">"Manual"</definedName>
    <definedName name="xdif635931415514589820_SelectAliasItem01" localSheetId="0" hidden="1">"Account No."</definedName>
    <definedName name="xdif635931415514589820_SelectAliasItem02" localSheetId="0" hidden="1">"Account Name"</definedName>
    <definedName name="xdif635931415514589820_SelectColumnFormulaItem01" localSheetId="0" hidden="1">"="</definedName>
    <definedName name="xdif635931415514589820_SelectColumnFormulaItem02" localSheetId="0" hidden="1">"="</definedName>
    <definedName name="xdif635931415514589820_SelectColumnNameItem01" localSheetId="0" hidden="1">"ACCOUNTNUMBER"</definedName>
    <definedName name="xdif635931415514589820_SelectColumnNameItem02" localSheetId="0" hidden="1">"NAME"</definedName>
    <definedName name="xdif635931415514589820_SelectGroupItem01" localSheetId="0" hidden="1">"="</definedName>
    <definedName name="xdif635931415514589820_SelectGroupItem02" localSheetId="0" hidden="1">"="</definedName>
    <definedName name="xdif635931415514589820_SelectItemRange01" localSheetId="0" hidden="1">'Income Statement'!$B$7:$B$36</definedName>
    <definedName name="xdif635931415514589820_SelectItemRange02" localSheetId="0" hidden="1">'Income Statement'!$C$7:$C$36</definedName>
    <definedName name="xdif635931415514589820_SelectItemType01" localSheetId="0" hidden="1">"Value"</definedName>
    <definedName name="xdif635931415514589820_SelectItemType02" localSheetId="0" hidden="1">"Value"</definedName>
    <definedName name="xdif635931415514589820_SelectPathItem01" localSheetId="0" hidden="1">".ACCOUNTS,Accounts"</definedName>
    <definedName name="xdif635931415514589820_SelectPathItem02" localSheetId="0" hidden="1">".ACCOUNTS,Accounts"</definedName>
    <definedName name="xdif635931415514589820_SelectVisibleItem01" localSheetId="0" hidden="1">TRUE</definedName>
    <definedName name="xdif635931415514589820_SelectVisibleItem02" localSheetId="0" hidden="1">TRUE</definedName>
    <definedName name="xdif635931415514589820_ShowColumnHeaders" localSheetId="0" hidden="1">FALSE</definedName>
    <definedName name="xdif635931415514589820_SortAliasItem01" localSheetId="0" hidden="1">"Account No."</definedName>
    <definedName name="xdif635931415514589820_SortColumnNameItem01" localSheetId="0" hidden="1">"ACCOUNTNUMBER"</definedName>
    <definedName name="xdif635931415514589820_SortOrderByItem01" localSheetId="0" hidden="1">"Asc"</definedName>
    <definedName name="xdif635931415514589820_SortPathItem01" localSheetId="0" hidden="1">".ACCOUNTS,Accounts"</definedName>
    <definedName name="xdif635931415514589820_SourceObject" localSheetId="0" hidden="1">"NSAccountsByNumber"</definedName>
    <definedName name="xdif635931415514589820_UserValue00" localSheetId="0" hidden="1">"HH Inc. (Consolidated)"</definedName>
    <definedName name="xdif635931415514589820_UserValue01" localSheetId="0" hidden="1">{"4*","5*"}</definedName>
    <definedName name="xdif635931415514589820_UserValue02" localSheetId="0" hidden="1">"="</definedName>
    <definedName name="xdif635931415514589820_UserValue03" localSheetId="0" hidden="1">"="</definedName>
  </definedNames>
  <calcPr calcId="171027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7" i="1"/>
  <c r="C8" i="1"/>
  <c r="C9" i="1"/>
  <c r="C10" i="1"/>
  <c r="C11" i="1"/>
  <c r="C12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7" i="1"/>
  <c r="B8" i="1"/>
  <c r="B9" i="1"/>
  <c r="B10" i="1"/>
  <c r="B11" i="1"/>
  <c r="B12" i="1"/>
  <c r="E1" i="1" l="1"/>
  <c r="E2" i="1" l="1"/>
  <c r="E6" i="1" s="1"/>
  <c r="F1" i="1"/>
  <c r="F2" i="1" s="1"/>
  <c r="F6" i="1" s="1"/>
  <c r="F5" i="1" l="1"/>
  <c r="G1" i="1"/>
  <c r="G2" i="1" s="1"/>
  <c r="G6" i="1" s="1"/>
  <c r="E5" i="1"/>
  <c r="F7" i="1"/>
  <c r="F27" i="1"/>
  <c r="F18" i="1"/>
  <c r="F35" i="1"/>
  <c r="E20" i="1"/>
  <c r="F33" i="1"/>
  <c r="F25" i="1"/>
  <c r="F9" i="1"/>
  <c r="E9" i="1"/>
  <c r="F30" i="1"/>
  <c r="E19" i="1"/>
  <c r="E21" i="1"/>
  <c r="F31" i="1"/>
  <c r="E27" i="1"/>
  <c r="E10" i="1"/>
  <c r="E7" i="1"/>
  <c r="F11" i="1"/>
  <c r="E34" i="1"/>
  <c r="E17" i="1"/>
  <c r="F21" i="1"/>
  <c r="E18" i="1"/>
  <c r="F16" i="1"/>
  <c r="F28" i="1"/>
  <c r="E28" i="1"/>
  <c r="E8" i="1"/>
  <c r="E29" i="1"/>
  <c r="E25" i="1"/>
  <c r="E11" i="1"/>
  <c r="F19" i="1"/>
  <c r="F8" i="1"/>
  <c r="F12" i="1"/>
  <c r="E32" i="1"/>
  <c r="F23" i="1"/>
  <c r="F17" i="1"/>
  <c r="E30" i="1"/>
  <c r="F32" i="1"/>
  <c r="E33" i="1"/>
  <c r="F24" i="1"/>
  <c r="F26" i="1"/>
  <c r="F29" i="1"/>
  <c r="E23" i="1"/>
  <c r="F20" i="1"/>
  <c r="E16" i="1"/>
  <c r="F10" i="1"/>
  <c r="E35" i="1"/>
  <c r="F34" i="1"/>
  <c r="E12" i="1"/>
  <c r="F22" i="1"/>
  <c r="E26" i="1"/>
  <c r="E31" i="1"/>
  <c r="E24" i="1"/>
  <c r="E22" i="1"/>
  <c r="F36" i="1"/>
  <c r="E36" i="1"/>
  <c r="E14" i="1" l="1"/>
  <c r="E38" i="1"/>
  <c r="F38" i="1"/>
  <c r="F14" i="1"/>
  <c r="G5" i="1"/>
  <c r="H1" i="1"/>
  <c r="H2" i="1" s="1"/>
  <c r="H6" i="1" s="1"/>
  <c r="G28" i="1"/>
  <c r="G29" i="1"/>
  <c r="G21" i="1"/>
  <c r="G27" i="1"/>
  <c r="G16" i="1"/>
  <c r="G31" i="1"/>
  <c r="G10" i="1"/>
  <c r="G22" i="1"/>
  <c r="G18" i="1"/>
  <c r="G33" i="1"/>
  <c r="G9" i="1"/>
  <c r="G19" i="1"/>
  <c r="G26" i="1"/>
  <c r="G23" i="1"/>
  <c r="G12" i="1"/>
  <c r="G36" i="1"/>
  <c r="G24" i="1"/>
  <c r="G7" i="1"/>
  <c r="G32" i="1"/>
  <c r="G34" i="1"/>
  <c r="G11" i="1"/>
  <c r="G20" i="1"/>
  <c r="G30" i="1"/>
  <c r="G35" i="1"/>
  <c r="G25" i="1"/>
  <c r="G8" i="1"/>
  <c r="G17" i="1"/>
  <c r="F40" i="1" l="1"/>
  <c r="G14" i="1"/>
  <c r="G38" i="1"/>
  <c r="E40" i="1"/>
  <c r="I1" i="1"/>
  <c r="I2" i="1" s="1"/>
  <c r="I6" i="1" s="1"/>
  <c r="H5" i="1"/>
  <c r="H29" i="1"/>
  <c r="H12" i="1"/>
  <c r="H17" i="1"/>
  <c r="H32" i="1"/>
  <c r="H30" i="1"/>
  <c r="H31" i="1"/>
  <c r="H21" i="1"/>
  <c r="H8" i="1"/>
  <c r="H26" i="1"/>
  <c r="H33" i="1"/>
  <c r="H18" i="1"/>
  <c r="H16" i="1"/>
  <c r="H10" i="1"/>
  <c r="H22" i="1"/>
  <c r="H9" i="1"/>
  <c r="H25" i="1"/>
  <c r="H27" i="1"/>
  <c r="H23" i="1"/>
  <c r="H35" i="1"/>
  <c r="H34" i="1"/>
  <c r="H36" i="1"/>
  <c r="H19" i="1"/>
  <c r="H24" i="1"/>
  <c r="H11" i="1"/>
  <c r="H20" i="1"/>
  <c r="H7" i="1"/>
  <c r="H28" i="1"/>
  <c r="H14" i="1" l="1"/>
  <c r="H38" i="1"/>
  <c r="G40" i="1"/>
  <c r="J1" i="1"/>
  <c r="J2" i="1" s="1"/>
  <c r="J6" i="1" s="1"/>
  <c r="I5" i="1"/>
  <c r="I11" i="1"/>
  <c r="I16" i="1"/>
  <c r="I18" i="1"/>
  <c r="I20" i="1"/>
  <c r="I34" i="1"/>
  <c r="I22" i="1"/>
  <c r="I28" i="1"/>
  <c r="I30" i="1"/>
  <c r="I24" i="1"/>
  <c r="I33" i="1"/>
  <c r="I35" i="1"/>
  <c r="I21" i="1"/>
  <c r="I29" i="1"/>
  <c r="I12" i="1"/>
  <c r="I9" i="1"/>
  <c r="I23" i="1"/>
  <c r="I19" i="1"/>
  <c r="I27" i="1"/>
  <c r="I31" i="1"/>
  <c r="I26" i="1"/>
  <c r="I10" i="1"/>
  <c r="I17" i="1"/>
  <c r="I25" i="1"/>
  <c r="I32" i="1"/>
  <c r="I7" i="1"/>
  <c r="I36" i="1"/>
  <c r="I8" i="1"/>
  <c r="I38" i="1" l="1"/>
  <c r="I14" i="1"/>
  <c r="H40" i="1"/>
  <c r="J5" i="1"/>
  <c r="K1" i="1"/>
  <c r="K2" i="1" s="1"/>
  <c r="K6" i="1" s="1"/>
  <c r="J18" i="1"/>
  <c r="J36" i="1"/>
  <c r="J9" i="1"/>
  <c r="J34" i="1"/>
  <c r="J29" i="1"/>
  <c r="J27" i="1"/>
  <c r="J12" i="1"/>
  <c r="J24" i="1"/>
  <c r="J21" i="1"/>
  <c r="J25" i="1"/>
  <c r="J30" i="1"/>
  <c r="J17" i="1"/>
  <c r="J23" i="1"/>
  <c r="J32" i="1"/>
  <c r="J26" i="1"/>
  <c r="J33" i="1"/>
  <c r="J19" i="1"/>
  <c r="J10" i="1"/>
  <c r="J31" i="1"/>
  <c r="J16" i="1"/>
  <c r="J8" i="1"/>
  <c r="J35" i="1"/>
  <c r="J28" i="1"/>
  <c r="J20" i="1"/>
  <c r="J22" i="1"/>
  <c r="J7" i="1"/>
  <c r="J11" i="1"/>
  <c r="J38" i="1" l="1"/>
  <c r="J14" i="1"/>
  <c r="I40" i="1"/>
  <c r="L1" i="1"/>
  <c r="L2" i="1" s="1"/>
  <c r="L6" i="1" s="1"/>
  <c r="K5" i="1"/>
  <c r="K30" i="1"/>
  <c r="K11" i="1"/>
  <c r="K26" i="1"/>
  <c r="K10" i="1"/>
  <c r="K12" i="1"/>
  <c r="K31" i="1"/>
  <c r="K7" i="1"/>
  <c r="K16" i="1"/>
  <c r="K35" i="1"/>
  <c r="K27" i="1"/>
  <c r="K24" i="1"/>
  <c r="K32" i="1"/>
  <c r="K19" i="1"/>
  <c r="K36" i="1"/>
  <c r="K9" i="1"/>
  <c r="K34" i="1"/>
  <c r="K8" i="1"/>
  <c r="K28" i="1"/>
  <c r="K25" i="1"/>
  <c r="K18" i="1"/>
  <c r="K33" i="1"/>
  <c r="K23" i="1"/>
  <c r="K20" i="1"/>
  <c r="K17" i="1"/>
  <c r="K21" i="1"/>
  <c r="K22" i="1"/>
  <c r="K29" i="1"/>
  <c r="K14" i="1" l="1"/>
  <c r="K38" i="1"/>
  <c r="J40" i="1"/>
  <c r="M1" i="1"/>
  <c r="M2" i="1" s="1"/>
  <c r="M6" i="1" s="1"/>
  <c r="L5" i="1"/>
  <c r="L36" i="1"/>
  <c r="L20" i="1"/>
  <c r="L24" i="1"/>
  <c r="L7" i="1"/>
  <c r="L31" i="1"/>
  <c r="L26" i="1"/>
  <c r="L32" i="1"/>
  <c r="L16" i="1"/>
  <c r="L27" i="1"/>
  <c r="L10" i="1"/>
  <c r="L29" i="1"/>
  <c r="L9" i="1"/>
  <c r="L33" i="1"/>
  <c r="L30" i="1"/>
  <c r="L8" i="1"/>
  <c r="L25" i="1"/>
  <c r="L34" i="1"/>
  <c r="L35" i="1"/>
  <c r="L11" i="1"/>
  <c r="L23" i="1"/>
  <c r="L28" i="1"/>
  <c r="L19" i="1"/>
  <c r="L12" i="1"/>
  <c r="L21" i="1"/>
  <c r="L18" i="1"/>
  <c r="L17" i="1"/>
  <c r="L22" i="1"/>
  <c r="L14" i="1" l="1"/>
  <c r="L38" i="1"/>
  <c r="K40" i="1"/>
  <c r="M5" i="1"/>
  <c r="N1" i="1"/>
  <c r="N2" i="1" s="1"/>
  <c r="N6" i="1" s="1"/>
  <c r="M7" i="1"/>
  <c r="M36" i="1"/>
  <c r="M18" i="1"/>
  <c r="M33" i="1"/>
  <c r="M24" i="1"/>
  <c r="M17" i="1"/>
  <c r="M35" i="1"/>
  <c r="M10" i="1"/>
  <c r="M20" i="1"/>
  <c r="M16" i="1"/>
  <c r="M29" i="1"/>
  <c r="M26" i="1"/>
  <c r="M22" i="1"/>
  <c r="M9" i="1"/>
  <c r="M19" i="1"/>
  <c r="M30" i="1"/>
  <c r="M32" i="1"/>
  <c r="M12" i="1"/>
  <c r="M27" i="1"/>
  <c r="M25" i="1"/>
  <c r="M11" i="1"/>
  <c r="M8" i="1"/>
  <c r="M28" i="1"/>
  <c r="M23" i="1"/>
  <c r="M34" i="1"/>
  <c r="M21" i="1"/>
  <c r="M31" i="1"/>
  <c r="M38" i="1" l="1"/>
  <c r="M14" i="1"/>
  <c r="L40" i="1"/>
  <c r="O1" i="1"/>
  <c r="O2" i="1" s="1"/>
  <c r="O6" i="1" s="1"/>
  <c r="N5" i="1"/>
  <c r="N27" i="1"/>
  <c r="N7" i="1"/>
  <c r="N28" i="1"/>
  <c r="N31" i="1"/>
  <c r="N25" i="1"/>
  <c r="N36" i="1"/>
  <c r="N18" i="1"/>
  <c r="N22" i="1"/>
  <c r="N34" i="1"/>
  <c r="N24" i="1"/>
  <c r="N30" i="1"/>
  <c r="N17" i="1"/>
  <c r="N19" i="1"/>
  <c r="N23" i="1"/>
  <c r="N33" i="1"/>
  <c r="N21" i="1"/>
  <c r="N8" i="1"/>
  <c r="N35" i="1"/>
  <c r="N12" i="1"/>
  <c r="N20" i="1"/>
  <c r="N29" i="1"/>
  <c r="N26" i="1"/>
  <c r="N16" i="1"/>
  <c r="N32" i="1"/>
  <c r="N9" i="1"/>
  <c r="N10" i="1"/>
  <c r="N11" i="1"/>
  <c r="N14" i="1" l="1"/>
  <c r="N38" i="1"/>
  <c r="M40" i="1"/>
  <c r="O5" i="1"/>
  <c r="P1" i="1"/>
  <c r="O7" i="1"/>
  <c r="O11" i="1"/>
  <c r="O34" i="1"/>
  <c r="O12" i="1"/>
  <c r="O35" i="1"/>
  <c r="O30" i="1"/>
  <c r="O16" i="1"/>
  <c r="O24" i="1"/>
  <c r="O27" i="1"/>
  <c r="O17" i="1"/>
  <c r="O25" i="1"/>
  <c r="O28" i="1"/>
  <c r="O20" i="1"/>
  <c r="O23" i="1"/>
  <c r="O19" i="1"/>
  <c r="O8" i="1"/>
  <c r="O9" i="1"/>
  <c r="O21" i="1"/>
  <c r="O18" i="1"/>
  <c r="O22" i="1"/>
  <c r="O26" i="1"/>
  <c r="O32" i="1"/>
  <c r="O10" i="1"/>
  <c r="O33" i="1"/>
  <c r="O29" i="1"/>
  <c r="O31" i="1"/>
  <c r="O36" i="1"/>
  <c r="N40" i="1" l="1"/>
  <c r="O38" i="1"/>
  <c r="O14" i="1"/>
  <c r="P5" i="1"/>
  <c r="P2" i="1"/>
  <c r="P6" i="1" s="1"/>
  <c r="O40" i="1" l="1"/>
  <c r="P19" i="1"/>
  <c r="P18" i="1"/>
  <c r="P25" i="1"/>
  <c r="P11" i="1"/>
  <c r="P24" i="1"/>
  <c r="P23" i="1"/>
  <c r="P36" i="1"/>
  <c r="P32" i="1"/>
  <c r="P17" i="1"/>
  <c r="P27" i="1"/>
  <c r="P30" i="1"/>
  <c r="P22" i="1"/>
  <c r="P31" i="1"/>
  <c r="P7" i="1"/>
  <c r="P12" i="1"/>
  <c r="P34" i="1"/>
  <c r="P29" i="1"/>
  <c r="P9" i="1"/>
  <c r="P8" i="1"/>
  <c r="P33" i="1"/>
  <c r="P21" i="1"/>
  <c r="P26" i="1"/>
  <c r="P10" i="1"/>
  <c r="P20" i="1"/>
  <c r="P16" i="1"/>
  <c r="P35" i="1"/>
  <c r="P28" i="1"/>
  <c r="R18" i="1" l="1"/>
  <c r="P14" i="1"/>
  <c r="P38" i="1"/>
  <c r="R17" i="1"/>
  <c r="R33" i="1"/>
  <c r="R23" i="1"/>
  <c r="R35" i="1"/>
  <c r="R25" i="1"/>
  <c r="R31" i="1"/>
  <c r="R32" i="1"/>
  <c r="R26" i="1"/>
  <c r="R7" i="1"/>
  <c r="R30" i="1"/>
  <c r="R34" i="1"/>
  <c r="R20" i="1"/>
  <c r="R28" i="1"/>
  <c r="R9" i="1"/>
  <c r="R21" i="1"/>
  <c r="R12" i="1"/>
  <c r="R29" i="1"/>
  <c r="R8" i="1"/>
  <c r="R22" i="1"/>
  <c r="R19" i="1"/>
  <c r="R24" i="1"/>
  <c r="R11" i="1"/>
  <c r="R10" i="1"/>
  <c r="R36" i="1"/>
  <c r="R16" i="1"/>
  <c r="R27" i="1"/>
  <c r="P40" i="1" l="1"/>
  <c r="R40" i="1" s="1"/>
  <c r="R38" i="1"/>
  <c r="R14" i="1"/>
</calcChain>
</file>

<file path=xl/sharedStrings.xml><?xml version="1.0" encoding="utf-8"?>
<sst xmlns="http://schemas.openxmlformats.org/spreadsheetml/2006/main" count="9" uniqueCount="9">
  <si>
    <t>HH Inc. (Consolidated)</t>
  </si>
  <si>
    <t>Total</t>
  </si>
  <si>
    <t>Total Income</t>
  </si>
  <si>
    <t>Budget</t>
  </si>
  <si>
    <t>Account</t>
  </si>
  <si>
    <t>Total Cost of Sales</t>
  </si>
  <si>
    <t>Rolling Forecast</t>
  </si>
  <si>
    <t>Gross Margin</t>
  </si>
  <si>
    <t>Jun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</si>
</sst>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0" xfId="0" applyBorder="1" applyAlignment="1"/>
    <xf numFmtId="165" fontId="0" fillId="0" borderId="0" xfId="1" applyNumberFormat="1" applyFont="1" applyBorder="1" applyAlignment="1">
      <alignment horizontal="right"/>
    </xf>
    <xf numFmtId="165" fontId="0" fillId="0" borderId="5" xfId="1" applyNumberFormat="1" applyFont="1" applyBorder="1" applyAlignment="1">
      <alignment horizontal="right"/>
    </xf>
    <xf numFmtId="0" fontId="0" fillId="0" borderId="8" xfId="0" applyBorder="1" applyAlignment="1"/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165" fontId="0" fillId="0" borderId="8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2" borderId="12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5" fillId="0" borderId="0" xfId="0" applyFont="1" applyAlignment="1"/>
    <xf numFmtId="49" fontId="5" fillId="0" borderId="0" xfId="0" applyNumberFormat="1" applyFont="1" applyAlignment="1"/>
    <xf numFmtId="166" fontId="0" fillId="0" borderId="0" xfId="0" applyNumberFormat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horizontal="right" vertical="center"/>
    </xf>
    <xf numFmtId="165" fontId="4" fillId="2" borderId="4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5" fontId="4" fillId="2" borderId="2" xfId="1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0" fillId="0" borderId="9" xfId="0" applyNumberFormat="1" applyBorder="1" applyAlignment="1">
      <alignment horizontal="left"/>
    </xf>
    <xf numFmtId="0" fontId="0" fillId="0" borderId="10" xfId="0" applyBorder="1" applyAlignment="1"/>
    <xf numFmtId="0" fontId="0" fillId="0" borderId="13" xfId="0" applyNumberFormat="1" applyBorder="1" applyAlignment="1">
      <alignment horizontal="left"/>
    </xf>
    <xf numFmtId="0" fontId="0" fillId="0" borderId="14" xfId="0" applyBorder="1" applyAlignment="1"/>
    <xf numFmtId="165" fontId="0" fillId="0" borderId="9" xfId="1" applyNumberFormat="1" applyFont="1" applyBorder="1" applyAlignment="1">
      <alignment horizontal="right"/>
    </xf>
    <xf numFmtId="165" fontId="0" fillId="0" borderId="11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165" fontId="0" fillId="0" borderId="13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0" borderId="14" xfId="1" applyNumberFormat="1" applyFont="1" applyBorder="1" applyAlignment="1">
      <alignment horizontal="right"/>
    </xf>
    <xf numFmtId="165" fontId="0" fillId="0" borderId="12" xfId="1" applyNumberFormat="1" applyFont="1" applyBorder="1" applyAlignment="1">
      <alignment horizontal="right"/>
    </xf>
    <xf numFmtId="165" fontId="0" fillId="0" borderId="15" xfId="1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1" fillId="0" borderId="9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4" fillId="2" borderId="7" xfId="0" quotePrefix="1" applyFont="1" applyFill="1" applyBorder="1" applyAlignment="1"/>
    <xf numFmtId="49" fontId="6" fillId="0" borderId="0" xfId="0" quotePrefix="1" applyNumberFormat="1" applyFont="1" applyAlignment="1">
      <alignment horizontal="left"/>
    </xf>
    <xf numFmtId="49" fontId="7" fillId="0" borderId="6" xfId="0" quotePrefix="1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1">
    <dxf>
      <font>
        <u val="none"/>
        <color rgb="FFC00000"/>
      </font>
    </dxf>
  </dxfs>
  <tableStyles count="0" defaultTableStyle="TableStyleMedium2" defaultPivotStyle="PivotStyleLight16"/>
  <colors>
    <mruColors>
      <color rgb="FF5D7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179917</xdr:colOff>
      <xdr:row>2</xdr:row>
      <xdr:rowOff>179917</xdr:rowOff>
    </xdr:from>
    <xdr:to>
      <xdr:col>17</xdr:col>
      <xdr:colOff>874600</xdr:colOff>
      <xdr:row>3</xdr:row>
      <xdr:rowOff>298723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7E33EA-B2E4-41A2-A839-0ECABB76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15334" y="179917"/>
          <a:ext cx="1657766" cy="616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0"/>
  <sheetViews>
    <sheetView showGridLines="0" tabSelected="1" topLeftCell="A3" zoomScale="92" zoomScaleNormal="92" workbookViewId="0">
      <selection activeCell="B3" sqref="B3:C3"/>
    </sheetView>
  </sheetViews>
  <sheetFormatPr defaultRowHeight="16.899999999999999" customHeight="1" x14ac:dyDescent="0.25"/>
  <cols>
    <col min="1" max="1" width="3" customWidth="1"/>
    <col min="2" max="2" width="11" customWidth="1"/>
    <col min="3" max="3" width="33" bestFit="1" customWidth="1"/>
    <col min="4" max="4" width="1.5703125" customWidth="1"/>
    <col min="5" max="16" width="12.5703125" style="1" customWidth="1"/>
    <col min="17" max="17" width="1.85546875" style="1" customWidth="1"/>
    <col min="18" max="18" width="13.5703125" style="1" customWidth="1"/>
    <col min="19" max="19" width="4.28515625" customWidth="1"/>
  </cols>
  <sheetData>
    <row r="1" spans="2:18" ht="16.350000000000001" hidden="1" customHeight="1" x14ac:dyDescent="0.25">
      <c r="E1" s="21">
        <f>DATE(YEAR(B4),1,1)</f>
        <v>42736</v>
      </c>
      <c r="F1" s="21">
        <f t="shared" ref="F1:P1" si="0">EDATE(E1,1)</f>
        <v>42767</v>
      </c>
      <c r="G1" s="21">
        <f t="shared" si="0"/>
        <v>42795</v>
      </c>
      <c r="H1" s="21">
        <f t="shared" si="0"/>
        <v>42826</v>
      </c>
      <c r="I1" s="21">
        <f t="shared" si="0"/>
        <v>42856</v>
      </c>
      <c r="J1" s="21">
        <f t="shared" si="0"/>
        <v>42887</v>
      </c>
      <c r="K1" s="21">
        <f t="shared" si="0"/>
        <v>42917</v>
      </c>
      <c r="L1" s="21">
        <f t="shared" si="0"/>
        <v>42948</v>
      </c>
      <c r="M1" s="21">
        <f t="shared" si="0"/>
        <v>42979</v>
      </c>
      <c r="N1" s="21">
        <f t="shared" si="0"/>
        <v>43009</v>
      </c>
      <c r="O1" s="21">
        <f t="shared" si="0"/>
        <v>43040</v>
      </c>
      <c r="P1" s="21">
        <f t="shared" si="0"/>
        <v>43070</v>
      </c>
    </row>
    <row r="2" spans="2:18" ht="16.899999999999999" hidden="1" customHeight="1" x14ac:dyDescent="0.25">
      <c r="E2" s="1" t="b">
        <f t="shared" ref="E2:P2" si="1">DATEVALUE($B$4)&gt;=E1</f>
        <v>1</v>
      </c>
      <c r="F2" s="1" t="b">
        <f t="shared" si="1"/>
        <v>1</v>
      </c>
      <c r="G2" s="1" t="b">
        <f t="shared" si="1"/>
        <v>1</v>
      </c>
      <c r="H2" s="1" t="b">
        <f t="shared" si="1"/>
        <v>1</v>
      </c>
      <c r="I2" s="1" t="b">
        <f t="shared" si="1"/>
        <v>1</v>
      </c>
      <c r="J2" s="1" t="b">
        <f t="shared" si="1"/>
        <v>1</v>
      </c>
      <c r="K2" s="1" t="b">
        <f t="shared" si="1"/>
        <v>0</v>
      </c>
      <c r="L2" s="1" t="b">
        <f t="shared" si="1"/>
        <v>0</v>
      </c>
      <c r="M2" s="1" t="b">
        <f t="shared" si="1"/>
        <v>0</v>
      </c>
      <c r="N2" s="1" t="b">
        <f t="shared" si="1"/>
        <v>0</v>
      </c>
      <c r="O2" s="1" t="b">
        <f t="shared" si="1"/>
        <v>0</v>
      </c>
      <c r="P2" s="1" t="b">
        <f t="shared" si="1"/>
        <v>0</v>
      </c>
    </row>
    <row r="3" spans="2:18" ht="39" customHeight="1" x14ac:dyDescent="0.5">
      <c r="B3" s="62" t="s">
        <v>3</v>
      </c>
      <c r="C3" s="62"/>
      <c r="D3" s="20"/>
      <c r="E3" s="20"/>
      <c r="F3" s="65" t="s">
        <v>0</v>
      </c>
      <c r="G3" s="65"/>
      <c r="H3" s="65"/>
      <c r="I3" s="65"/>
      <c r="J3" s="65"/>
      <c r="K3" s="65"/>
      <c r="L3" s="65"/>
      <c r="M3" s="65"/>
      <c r="N3" s="65"/>
      <c r="O3" s="19"/>
      <c r="P3" s="19"/>
      <c r="Q3" s="15"/>
    </row>
    <row r="4" spans="2:18" s="3" customFormat="1" ht="35.450000000000003" customHeight="1" x14ac:dyDescent="0.5">
      <c r="B4" s="63" t="s">
        <v>8</v>
      </c>
      <c r="C4" s="64"/>
      <c r="D4" s="33"/>
      <c r="E4" s="33"/>
      <c r="F4" s="66" t="s">
        <v>6</v>
      </c>
      <c r="G4" s="66"/>
      <c r="H4" s="66"/>
      <c r="I4" s="66"/>
      <c r="J4" s="66"/>
      <c r="K4" s="66"/>
      <c r="L4" s="66"/>
      <c r="M4" s="66"/>
      <c r="N4" s="66"/>
      <c r="O4" s="34"/>
      <c r="P4" s="34"/>
      <c r="Q4" s="27"/>
      <c r="R4" s="35"/>
    </row>
    <row r="5" spans="2:18" s="49" customFormat="1" ht="24" customHeight="1" x14ac:dyDescent="0.25">
      <c r="B5" s="17"/>
      <c r="C5" s="18" t="s">
        <v>4</v>
      </c>
      <c r="E5" s="11" t="str">
        <f t="shared" ref="E5:P5" si="2">TEXT(E1,"mmm yyyy")</f>
        <v>Jan 2017</v>
      </c>
      <c r="F5" s="13" t="str">
        <f t="shared" si="2"/>
        <v>Feb 2017</v>
      </c>
      <c r="G5" s="13" t="str">
        <f t="shared" si="2"/>
        <v>Mar 2017</v>
      </c>
      <c r="H5" s="13" t="str">
        <f t="shared" si="2"/>
        <v>Apr 2017</v>
      </c>
      <c r="I5" s="13" t="str">
        <f t="shared" si="2"/>
        <v>May 2017</v>
      </c>
      <c r="J5" s="13" t="str">
        <f t="shared" si="2"/>
        <v>Jun 2017</v>
      </c>
      <c r="K5" s="13" t="str">
        <f t="shared" si="2"/>
        <v>Jul 2017</v>
      </c>
      <c r="L5" s="13" t="str">
        <f t="shared" si="2"/>
        <v>Aug 2017</v>
      </c>
      <c r="M5" s="13" t="str">
        <f t="shared" si="2"/>
        <v>Sep 2017</v>
      </c>
      <c r="N5" s="13" t="str">
        <f t="shared" si="2"/>
        <v>Oct 2017</v>
      </c>
      <c r="O5" s="13" t="str">
        <f t="shared" si="2"/>
        <v>Nov 2017</v>
      </c>
      <c r="P5" s="12" t="str">
        <f t="shared" si="2"/>
        <v>Dec 2017</v>
      </c>
      <c r="Q5" s="50"/>
      <c r="R5" s="16" t="s">
        <v>1</v>
      </c>
    </row>
    <row r="6" spans="2:18" s="52" customFormat="1" ht="19.5" customHeight="1" x14ac:dyDescent="0.25">
      <c r="E6" s="55" t="str">
        <f>IF(E2,"Actual","Budget")</f>
        <v>Actual</v>
      </c>
      <c r="F6" s="55" t="str">
        <f t="shared" ref="F6:P6" si="3">IF(F2,"Actual","Budget")</f>
        <v>Actual</v>
      </c>
      <c r="G6" s="55" t="str">
        <f t="shared" si="3"/>
        <v>Actual</v>
      </c>
      <c r="H6" s="55" t="str">
        <f t="shared" si="3"/>
        <v>Actual</v>
      </c>
      <c r="I6" s="55" t="str">
        <f t="shared" si="3"/>
        <v>Actual</v>
      </c>
      <c r="J6" s="55" t="str">
        <f t="shared" si="3"/>
        <v>Actual</v>
      </c>
      <c r="K6" s="55" t="str">
        <f t="shared" si="3"/>
        <v>Budget</v>
      </c>
      <c r="L6" s="55" t="str">
        <f t="shared" si="3"/>
        <v>Budget</v>
      </c>
      <c r="M6" s="55" t="str">
        <f t="shared" si="3"/>
        <v>Budget</v>
      </c>
      <c r="N6" s="55" t="str">
        <f t="shared" si="3"/>
        <v>Budget</v>
      </c>
      <c r="O6" s="55" t="str">
        <f t="shared" si="3"/>
        <v>Budget</v>
      </c>
      <c r="P6" s="55" t="str">
        <f t="shared" si="3"/>
        <v>Budget</v>
      </c>
      <c r="Q6" s="53"/>
      <c r="R6" s="54"/>
    </row>
    <row r="7" spans="2:18" ht="16.899999999999999" customHeight="1" x14ac:dyDescent="0.35">
      <c r="B7" s="37" t="str">
        <f>IF(TRUE,"4000","LI(0,0)")</f>
        <v>4000</v>
      </c>
      <c r="C7" s="38" t="str">
        <f>IF(TRUE,"Sales","LI(0,1)")</f>
        <v>Sales</v>
      </c>
      <c r="D7" s="7"/>
      <c r="E7" s="51">
        <f>-IF(E$2,_xll.NSGLABAL($F$3,$B7,E$5),_xll.NSGLABUD($F$3,$B$3,$B7,E$5))</f>
        <v>1805331.76</v>
      </c>
      <c r="F7" s="42">
        <f>-IF(F$2,_xll.NSGLABAL($F$3,$B7,F$5),_xll.NSGLABUD($F$3,$B$3,$B7,F$5))</f>
        <v>2557299.3199999998</v>
      </c>
      <c r="G7" s="42">
        <f>-IF(G$2,_xll.NSGLABAL($F$3,$B7,G$5),_xll.NSGLABUD($F$3,$B$3,$B7,G$5))</f>
        <v>10458457.300000001</v>
      </c>
      <c r="H7" s="42">
        <f>-IF(H$2,_xll.NSGLABAL($F$3,$B7,H$5),_xll.NSGLABUD($F$3,$B$3,$B7,H$5))</f>
        <v>8262295.2599999998</v>
      </c>
      <c r="I7" s="42">
        <f>-IF(I$2,_xll.NSGLABAL($F$3,$B7,I$5),_xll.NSGLABUD($F$3,$B$3,$B7,I$5))</f>
        <v>7672211.2599999998</v>
      </c>
      <c r="J7" s="42">
        <f>-IF(J$2,_xll.NSGLABAL($F$3,$B7,J$5),_xll.NSGLABUD($F$3,$B$3,$B7,J$5))</f>
        <v>720674.16</v>
      </c>
      <c r="K7" s="42">
        <f>-IF(K$2,_xll.NSGLABAL($F$3,$B7,K$5),_xll.NSGLABUD($F$3,$B$3,$B7,K$5))</f>
        <v>377115.96</v>
      </c>
      <c r="L7" s="42">
        <f>-IF(L$2,_xll.NSGLABAL($F$3,$B7,L$5),_xll.NSGLABUD($F$3,$B$3,$B7,L$5))</f>
        <v>369518.08000000002</v>
      </c>
      <c r="M7" s="42">
        <f>-IF(M$2,_xll.NSGLABAL($F$3,$B7,M$5),_xll.NSGLABUD($F$3,$B$3,$B7,M$5))</f>
        <v>402792.9</v>
      </c>
      <c r="N7" s="42">
        <f>-IF(N$2,_xll.NSGLABAL($F$3,$B7,N$5),_xll.NSGLABUD($F$3,$B$3,$B7,N$5))</f>
        <v>300060.48</v>
      </c>
      <c r="O7" s="42">
        <f>-IF(O$2,_xll.NSGLABAL($F$3,$B7,O$5),_xll.NSGLABUD($F$3,$B$3,$B7,O$5))</f>
        <v>276211.76</v>
      </c>
      <c r="P7" s="43">
        <f>-IF(P$2,_xll.NSGLABAL($F$3,$B7,P$5),_xll.NSGLABUD($F$3,$B$3,$B7,P$5))</f>
        <v>465672.81</v>
      </c>
      <c r="Q7" s="15"/>
      <c r="R7" s="47">
        <f t="shared" ref="R7:R12" si="4">SUM(E7:P7)</f>
        <v>33667641.049999997</v>
      </c>
    </row>
    <row r="8" spans="2:18" ht="16.899999999999999" customHeight="1" x14ac:dyDescent="0.35">
      <c r="B8" s="6" t="str">
        <f>IF(TRUE,"4002","LI(1,0)")</f>
        <v>4002</v>
      </c>
      <c r="C8" s="10" t="str">
        <f>IF(TRUE,"Sales - Merchandise","LI(1,1)")</f>
        <v>Sales - Merchandise</v>
      </c>
      <c r="D8" s="7"/>
      <c r="E8" s="2">
        <f>-IF(E$2,_xll.NSGLABAL($F$3,$B8,E$5),_xll.NSGLABUD($F$3,$B$3,$B8,E$5))</f>
        <v>1537129.67</v>
      </c>
      <c r="F8" s="8">
        <f>-IF(F$2,_xll.NSGLABAL($F$3,$B8,F$5),_xll.NSGLABUD($F$3,$B$3,$B8,F$5))</f>
        <v>2074341.34</v>
      </c>
      <c r="G8" s="8">
        <f>-IF(G$2,_xll.NSGLABAL($F$3,$B8,G$5),_xll.NSGLABUD($F$3,$B$3,$B8,G$5))</f>
        <v>440549.02</v>
      </c>
      <c r="H8" s="8">
        <f>-IF(H$2,_xll.NSGLABAL($F$3,$B8,H$5),_xll.NSGLABUD($F$3,$B$3,$B8,H$5))</f>
        <v>13672.01</v>
      </c>
      <c r="I8" s="8">
        <f>-IF(I$2,_xll.NSGLABAL($F$3,$B8,I$5),_xll.NSGLABUD($F$3,$B$3,$B8,I$5))</f>
        <v>34005.35</v>
      </c>
      <c r="J8" s="8">
        <f>-IF(J$2,_xll.NSGLABAL($F$3,$B8,J$5),_xll.NSGLABUD($F$3,$B$3,$B8,J$5))</f>
        <v>30106.39</v>
      </c>
      <c r="K8" s="8">
        <f>-IF(K$2,_xll.NSGLABAL($F$3,$B8,K$5),_xll.NSGLABUD($F$3,$B$3,$B8,K$5))</f>
        <v>30599.43</v>
      </c>
      <c r="L8" s="8">
        <f>-IF(L$2,_xll.NSGLABAL($F$3,$B8,L$5),_xll.NSGLABUD($F$3,$B$3,$B8,L$5))</f>
        <v>40899.15</v>
      </c>
      <c r="M8" s="8">
        <f>-IF(M$2,_xll.NSGLABAL($F$3,$B8,M$5),_xll.NSGLABUD($F$3,$B$3,$B8,M$5))</f>
        <v>3352997.15</v>
      </c>
      <c r="N8" s="8">
        <f>-IF(N$2,_xll.NSGLABAL($F$3,$B8,N$5),_xll.NSGLABUD($F$3,$B$3,$B8,N$5))</f>
        <v>1142397.72</v>
      </c>
      <c r="O8" s="8">
        <f>-IF(O$2,_xll.NSGLABAL($F$3,$B8,O$5),_xll.NSGLABUD($F$3,$B$3,$B8,O$5))</f>
        <v>851498.58</v>
      </c>
      <c r="P8" s="14">
        <f>-IF(P$2,_xll.NSGLABAL($F$3,$B8,P$5),_xll.NSGLABUD($F$3,$B$3,$B8,P$5))</f>
        <v>883296.87</v>
      </c>
      <c r="Q8" s="15"/>
      <c r="R8" s="9">
        <f t="shared" si="4"/>
        <v>10431492.68</v>
      </c>
    </row>
    <row r="9" spans="2:18" ht="16.899999999999999" customHeight="1" x14ac:dyDescent="0.35">
      <c r="B9" s="6" t="str">
        <f>IF(TRUE,"4004","LI(2,0)")</f>
        <v>4004</v>
      </c>
      <c r="C9" s="10" t="str">
        <f>IF(TRUE,"Sales - Service","LI(2,1)")</f>
        <v>Sales - Service</v>
      </c>
      <c r="D9" s="7"/>
      <c r="E9" s="2">
        <f>-IF(E$2,_xll.NSGLABAL($F$3,$B9,E$5),_xll.NSGLABUD($F$3,$B$3,$B9,E$5))</f>
        <v>288630.77</v>
      </c>
      <c r="F9" s="8">
        <f>-IF(F$2,_xll.NSGLABAL($F$3,$B9,F$5),_xll.NSGLABUD($F$3,$B$3,$B9,F$5))</f>
        <v>442494.03</v>
      </c>
      <c r="G9" s="8">
        <f>-IF(G$2,_xll.NSGLABAL($F$3,$B9,G$5),_xll.NSGLABUD($F$3,$B$3,$B9,G$5))</f>
        <v>331640.88</v>
      </c>
      <c r="H9" s="8">
        <f>-IF(H$2,_xll.NSGLABAL($F$3,$B9,H$5),_xll.NSGLABUD($F$3,$B$3,$B9,H$5))</f>
        <v>282196.93</v>
      </c>
      <c r="I9" s="8">
        <f>-IF(I$2,_xll.NSGLABAL($F$3,$B9,I$5),_xll.NSGLABUD($F$3,$B$3,$B9,I$5))</f>
        <v>362956.26</v>
      </c>
      <c r="J9" s="8">
        <f>-IF(J$2,_xll.NSGLABAL($F$3,$B9,J$5),_xll.NSGLABUD($F$3,$B$3,$B9,J$5))</f>
        <v>275844.23</v>
      </c>
      <c r="K9" s="8">
        <f>-IF(K$2,_xll.NSGLABAL($F$3,$B9,K$5),_xll.NSGLABUD($F$3,$B$3,$B9,K$5))</f>
        <v>36845.24</v>
      </c>
      <c r="L9" s="8">
        <f>-IF(L$2,_xll.NSGLABAL($F$3,$B9,L$5),_xll.NSGLABUD($F$3,$B$3,$B9,L$5))</f>
        <v>35012.019999999997</v>
      </c>
      <c r="M9" s="8">
        <f>-IF(M$2,_xll.NSGLABAL($F$3,$B9,M$5),_xll.NSGLABUD($F$3,$B$3,$B9,M$5))</f>
        <v>53624.01</v>
      </c>
      <c r="N9" s="8">
        <f>-IF(N$2,_xll.NSGLABAL($F$3,$B9,N$5),_xll.NSGLABUD($F$3,$B$3,$B9,N$5))</f>
        <v>56406.23</v>
      </c>
      <c r="O9" s="8">
        <f>-IF(O$2,_xll.NSGLABAL($F$3,$B9,O$5),_xll.NSGLABUD($F$3,$B$3,$B9,O$5))</f>
        <v>45806.8</v>
      </c>
      <c r="P9" s="14">
        <f>-IF(P$2,_xll.NSGLABAL($F$3,$B9,P$5),_xll.NSGLABUD($F$3,$B$3,$B9,P$5))</f>
        <v>85554.67</v>
      </c>
      <c r="Q9" s="15"/>
      <c r="R9" s="9">
        <f t="shared" si="4"/>
        <v>2297012.0699999998</v>
      </c>
    </row>
    <row r="10" spans="2:18" ht="16.899999999999999" customHeight="1" x14ac:dyDescent="0.35">
      <c r="B10" s="6" t="str">
        <f>IF(TRUE,"4006","LI(3,0)")</f>
        <v>4006</v>
      </c>
      <c r="C10" s="10" t="str">
        <f>IF(TRUE,"Sales - Clearance","LI(3,1)")</f>
        <v>Sales - Clearance</v>
      </c>
      <c r="D10" s="7"/>
      <c r="E10" s="2">
        <f>-IF(E$2,_xll.NSGLABAL($F$3,$B10,E$5),_xll.NSGLABUD($F$3,$B$3,$B10,E$5))</f>
        <v>26688.73</v>
      </c>
      <c r="F10" s="8">
        <f>-IF(F$2,_xll.NSGLABAL($F$3,$B10,F$5),_xll.NSGLABUD($F$3,$B$3,$B10,F$5))</f>
        <v>23848.720000000001</v>
      </c>
      <c r="G10" s="8">
        <f>-IF(G$2,_xll.NSGLABAL($F$3,$B10,G$5),_xll.NSGLABUD($F$3,$B$3,$B10,G$5))</f>
        <v>0</v>
      </c>
      <c r="H10" s="8">
        <f>-IF(H$2,_xll.NSGLABAL($F$3,$B10,H$5),_xll.NSGLABUD($F$3,$B$3,$B10,H$5))</f>
        <v>9357.2000000000007</v>
      </c>
      <c r="I10" s="8">
        <f>-IF(I$2,_xll.NSGLABAL($F$3,$B10,I$5),_xll.NSGLABUD($F$3,$B$3,$B10,I$5))</f>
        <v>0</v>
      </c>
      <c r="J10" s="8">
        <f>-IF(J$2,_xll.NSGLABAL($F$3,$B10,J$5),_xll.NSGLABUD($F$3,$B$3,$B10,J$5))</f>
        <v>0</v>
      </c>
      <c r="K10" s="8">
        <f>-IF(K$2,_xll.NSGLABAL($F$3,$B10,K$5),_xll.NSGLABUD($F$3,$B$3,$B10,K$5))</f>
        <v>100000</v>
      </c>
      <c r="L10" s="8">
        <f>-IF(L$2,_xll.NSGLABAL($F$3,$B10,L$5),_xll.NSGLABUD($F$3,$B$3,$B10,L$5))</f>
        <v>113249.29</v>
      </c>
      <c r="M10" s="8">
        <f>-IF(M$2,_xll.NSGLABAL($F$3,$B10,M$5),_xll.NSGLABUD($F$3,$B$3,$B10,M$5))</f>
        <v>100000</v>
      </c>
      <c r="N10" s="8">
        <f>-IF(N$2,_xll.NSGLABAL($F$3,$B10,N$5),_xll.NSGLABUD($F$3,$B$3,$B10,N$5))</f>
        <v>100000</v>
      </c>
      <c r="O10" s="8">
        <f>-IF(O$2,_xll.NSGLABAL($F$3,$B10,O$5),_xll.NSGLABUD($F$3,$B$3,$B10,O$5))</f>
        <v>100000</v>
      </c>
      <c r="P10" s="14">
        <f>-IF(P$2,_xll.NSGLABAL($F$3,$B10,P$5),_xll.NSGLABUD($F$3,$B$3,$B10,P$5))</f>
        <v>100000</v>
      </c>
      <c r="Q10" s="15"/>
      <c r="R10" s="9">
        <f t="shared" si="4"/>
        <v>673143.94</v>
      </c>
    </row>
    <row r="11" spans="2:18" ht="16.899999999999999" customHeight="1" x14ac:dyDescent="0.35">
      <c r="B11" s="6" t="str">
        <f>IF(TRUE,"4008","LI(4,0)")</f>
        <v>4008</v>
      </c>
      <c r="C11" s="10" t="str">
        <f>IF(TRUE,"Sales - Warranty","LI(4,1)")</f>
        <v>Sales - Warranty</v>
      </c>
      <c r="D11" s="7"/>
      <c r="E11" s="2">
        <f>-IF(E$2,_xll.NSGLABAL($F$3,$B11,E$5),_xll.NSGLABUD($F$3,$B$3,$B11,E$5))</f>
        <v>3164878.94</v>
      </c>
      <c r="F11" s="8">
        <f>-IF(F$2,_xll.NSGLABAL($F$3,$B11,F$5),_xll.NSGLABUD($F$3,$B$3,$B11,F$5))</f>
        <v>2273394.64</v>
      </c>
      <c r="G11" s="8">
        <f>-IF(G$2,_xll.NSGLABAL($F$3,$B11,G$5),_xll.NSGLABUD($F$3,$B$3,$B11,G$5))</f>
        <v>2348594.84</v>
      </c>
      <c r="H11" s="8">
        <f>-IF(H$2,_xll.NSGLABAL($F$3,$B11,H$5),_xll.NSGLABUD($F$3,$B$3,$B11,H$5))</f>
        <v>2011039.93</v>
      </c>
      <c r="I11" s="8">
        <f>-IF(I$2,_xll.NSGLABAL($F$3,$B11,I$5),_xll.NSGLABUD($F$3,$B$3,$B11,I$5))</f>
        <v>1931886.74</v>
      </c>
      <c r="J11" s="8">
        <f>-IF(J$2,_xll.NSGLABAL($F$3,$B11,J$5),_xll.NSGLABUD($F$3,$B$3,$B11,J$5))</f>
        <v>158795.01999999999</v>
      </c>
      <c r="K11" s="8">
        <f>-IF(K$2,_xll.NSGLABAL($F$3,$B11,K$5),_xll.NSGLABUD($F$3,$B$3,$B11,K$5))</f>
        <v>78914.89</v>
      </c>
      <c r="L11" s="8">
        <f>-IF(L$2,_xll.NSGLABAL($F$3,$B11,L$5),_xll.NSGLABUD($F$3,$B$3,$B11,L$5))</f>
        <v>76755.009999999995</v>
      </c>
      <c r="M11" s="8">
        <f>-IF(M$2,_xll.NSGLABAL($F$3,$B11,M$5),_xll.NSGLABUD($F$3,$B$3,$B11,M$5))</f>
        <v>63176.6</v>
      </c>
      <c r="N11" s="8">
        <f>-IF(N$2,_xll.NSGLABAL($F$3,$B11,N$5),_xll.NSGLABUD($F$3,$B$3,$B11,N$5))</f>
        <v>46847.51</v>
      </c>
      <c r="O11" s="8">
        <f>-IF(O$2,_xll.NSGLABAL($F$3,$B11,O$5),_xll.NSGLABUD($F$3,$B$3,$B11,O$5))</f>
        <v>44939.61</v>
      </c>
      <c r="P11" s="14">
        <f>-IF(P$2,_xll.NSGLABAL($F$3,$B11,P$5),_xll.NSGLABUD($F$3,$B$3,$B11,P$5))</f>
        <v>60931.17</v>
      </c>
      <c r="Q11" s="15"/>
      <c r="R11" s="9">
        <f t="shared" si="4"/>
        <v>12260154.899999999</v>
      </c>
    </row>
    <row r="12" spans="2:18" ht="16.899999999999999" customHeight="1" x14ac:dyDescent="0.35">
      <c r="B12" s="39" t="str">
        <f>IF(TRUE,"4100","LI(5,0)")</f>
        <v>4100</v>
      </c>
      <c r="C12" s="40" t="str">
        <f>IF(TRUE,"WIP eRev","LI(5,1)")</f>
        <v>WIP eRev</v>
      </c>
      <c r="D12" s="7"/>
      <c r="E12" s="44">
        <f>-IF(E$2,_xll.NSGLABAL($F$3,$B12,E$5),_xll.NSGLABUD($F$3,$B$3,$B12,E$5))</f>
        <v>0</v>
      </c>
      <c r="F12" s="45">
        <f>-IF(F$2,_xll.NSGLABAL($F$3,$B12,F$5),_xll.NSGLABUD($F$3,$B$3,$B12,F$5))</f>
        <v>-7360</v>
      </c>
      <c r="G12" s="45">
        <f>-IF(G$2,_xll.NSGLABAL($F$3,$B12,G$5),_xll.NSGLABUD($F$3,$B$3,$B12,G$5))</f>
        <v>0</v>
      </c>
      <c r="H12" s="45">
        <f>-IF(H$2,_xll.NSGLABAL($F$3,$B12,H$5),_xll.NSGLABUD($F$3,$B$3,$B12,H$5))</f>
        <v>0</v>
      </c>
      <c r="I12" s="45">
        <f>-IF(I$2,_xll.NSGLABAL($F$3,$B12,I$5),_xll.NSGLABUD($F$3,$B$3,$B12,I$5))</f>
        <v>0</v>
      </c>
      <c r="J12" s="45">
        <f>-IF(J$2,_xll.NSGLABAL($F$3,$B12,J$5),_xll.NSGLABUD($F$3,$B$3,$B12,J$5))</f>
        <v>0</v>
      </c>
      <c r="K12" s="45">
        <f>-IF(K$2,_xll.NSGLABAL($F$3,$B12,K$5),_xll.NSGLABUD($F$3,$B$3,$B12,K$5))</f>
        <v>0</v>
      </c>
      <c r="L12" s="45">
        <f>-IF(L$2,_xll.NSGLABAL($F$3,$B12,L$5),_xll.NSGLABUD($F$3,$B$3,$B12,L$5))</f>
        <v>0</v>
      </c>
      <c r="M12" s="45">
        <f>-IF(M$2,_xll.NSGLABAL($F$3,$B12,M$5),_xll.NSGLABUD($F$3,$B$3,$B12,M$5))</f>
        <v>0</v>
      </c>
      <c r="N12" s="45">
        <f>-IF(N$2,_xll.NSGLABAL($F$3,$B12,N$5),_xll.NSGLABUD($F$3,$B$3,$B12,N$5))</f>
        <v>0</v>
      </c>
      <c r="O12" s="45">
        <f>-IF(O$2,_xll.NSGLABAL($F$3,$B12,O$5),_xll.NSGLABUD($F$3,$B$3,$B12,O$5))</f>
        <v>0</v>
      </c>
      <c r="P12" s="46">
        <f>-IF(P$2,_xll.NSGLABAL($F$3,$B12,P$5),_xll.NSGLABUD($F$3,$B$3,$B12,P$5))</f>
        <v>0</v>
      </c>
      <c r="Q12" s="15"/>
      <c r="R12" s="48">
        <f t="shared" si="4"/>
        <v>-7360</v>
      </c>
    </row>
    <row r="13" spans="2:18" s="4" customFormat="1" ht="7.5" customHeight="1" x14ac:dyDescent="0.35">
      <c r="B13" s="58"/>
      <c r="C13" s="60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36"/>
      <c r="R13" s="5"/>
    </row>
    <row r="14" spans="2:18" s="49" customFormat="1" ht="21.6" customHeight="1" x14ac:dyDescent="0.25">
      <c r="B14" s="59"/>
      <c r="C14" s="61" t="s">
        <v>2</v>
      </c>
      <c r="E14" s="29">
        <f>SUBTOTAL(9,E7:E12)</f>
        <v>6822659.8699999992</v>
      </c>
      <c r="F14" s="30">
        <f t="shared" ref="F14:P14" si="5">SUBTOTAL(9,F7:F12)</f>
        <v>7364018.0500000007</v>
      </c>
      <c r="G14" s="30">
        <f t="shared" si="5"/>
        <v>13579242.040000001</v>
      </c>
      <c r="H14" s="30">
        <f t="shared" si="5"/>
        <v>10578561.329999998</v>
      </c>
      <c r="I14" s="30">
        <f t="shared" si="5"/>
        <v>10001059.609999999</v>
      </c>
      <c r="J14" s="30">
        <f t="shared" si="5"/>
        <v>1185419.8</v>
      </c>
      <c r="K14" s="30">
        <f t="shared" si="5"/>
        <v>623475.52</v>
      </c>
      <c r="L14" s="30">
        <f t="shared" si="5"/>
        <v>635433.55000000005</v>
      </c>
      <c r="M14" s="30">
        <f t="shared" si="5"/>
        <v>3972590.6599999997</v>
      </c>
      <c r="N14" s="30">
        <f t="shared" si="5"/>
        <v>1645711.94</v>
      </c>
      <c r="O14" s="30">
        <f t="shared" si="5"/>
        <v>1318456.75</v>
      </c>
      <c r="P14" s="31">
        <f t="shared" si="5"/>
        <v>1595455.5199999998</v>
      </c>
      <c r="Q14" s="27"/>
      <c r="R14" s="32">
        <f>SUM(E14:P14)</f>
        <v>59322084.639999993</v>
      </c>
    </row>
    <row r="15" spans="2:18" s="4" customFormat="1" ht="7.5" customHeight="1" x14ac:dyDescent="0.35">
      <c r="B15" s="58"/>
      <c r="C15" s="60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6"/>
      <c r="R15" s="5"/>
    </row>
    <row r="16" spans="2:18" ht="16.899999999999999" customHeight="1" x14ac:dyDescent="0.35">
      <c r="B16" s="37" t="str">
        <f>IF(TRUE,"5000","LI(0,0)")</f>
        <v>5000</v>
      </c>
      <c r="C16" s="38" t="str">
        <f>IF(TRUE,"Purchases","LI(0,1)")</f>
        <v>Purchases</v>
      </c>
      <c r="D16" s="7"/>
      <c r="E16" s="41">
        <f>IF(E$2,_xll.NSGLABAL($F$3,$B16,E$5),_xll.NSGLABUD($F$3,$B$3,$B16,E$5))</f>
        <v>5558297.0700000003</v>
      </c>
      <c r="F16" s="42">
        <f>IF(F$2,_xll.NSGLABAL($F$3,$B16,F$5),_xll.NSGLABUD($F$3,$B$3,$B16,F$5))</f>
        <v>4068261.24</v>
      </c>
      <c r="G16" s="42">
        <f>IF(G$2,_xll.NSGLABAL($F$3,$B16,G$5),_xll.NSGLABUD($F$3,$B$3,$B16,G$5))</f>
        <v>3914422.25</v>
      </c>
      <c r="H16" s="42">
        <f>IF(H$2,_xll.NSGLABAL($F$3,$B16,H$5),_xll.NSGLABUD($F$3,$B$3,$B16,H$5))</f>
        <v>3385647.56</v>
      </c>
      <c r="I16" s="42">
        <f>IF(I$2,_xll.NSGLABAL($F$3,$B16,I$5),_xll.NSGLABUD($F$3,$B$3,$B16,I$5))</f>
        <v>3336661.01</v>
      </c>
      <c r="J16" s="42">
        <f>IF(J$2,_xll.NSGLABAL($F$3,$B16,J$5),_xll.NSGLABUD($F$3,$B$3,$B16,J$5))</f>
        <v>360699.06</v>
      </c>
      <c r="K16" s="42">
        <f>IF(K$2,_xll.NSGLABAL($F$3,$B16,K$5),_xll.NSGLABUD($F$3,$B$3,$B16,K$5))</f>
        <v>167092.47</v>
      </c>
      <c r="L16" s="42">
        <f>IF(L$2,_xll.NSGLABAL($F$3,$B16,L$5),_xll.NSGLABUD($F$3,$B$3,$B16,L$5))</f>
        <v>164207.97</v>
      </c>
      <c r="M16" s="42">
        <f>IF(M$2,_xll.NSGLABAL($F$3,$B16,M$5),_xll.NSGLABUD($F$3,$B$3,$B16,M$5))</f>
        <v>150678.73000000001</v>
      </c>
      <c r="N16" s="42">
        <f>IF(N$2,_xll.NSGLABAL($F$3,$B16,N$5),_xll.NSGLABUD($F$3,$B$3,$B16,N$5))</f>
        <v>136528.39000000001</v>
      </c>
      <c r="O16" s="42">
        <f>IF(O$2,_xll.NSGLABAL($F$3,$B16,O$5),_xll.NSGLABUD($F$3,$B$3,$B16,O$5))</f>
        <v>131016.63</v>
      </c>
      <c r="P16" s="43">
        <f>IF(P$2,_xll.NSGLABAL($F$3,$B16,P$5),_xll.NSGLABUD($F$3,$B$3,$B16,P$5))</f>
        <v>197420.41</v>
      </c>
      <c r="Q16" s="15"/>
      <c r="R16" s="47">
        <f t="shared" ref="R16:R36" si="6">SUM(E16:P16)</f>
        <v>21570932.789999999</v>
      </c>
    </row>
    <row r="17" spans="2:18" ht="16.899999999999999" customHeight="1" x14ac:dyDescent="0.35">
      <c r="B17" s="6" t="str">
        <f>IF(TRUE,"5002","LI(1,0)")</f>
        <v>5002</v>
      </c>
      <c r="C17" s="10" t="str">
        <f>IF(TRUE,"Merchandise","LI(1,1)")</f>
        <v>Merchandise</v>
      </c>
      <c r="D17" s="7"/>
      <c r="E17" s="2">
        <f>IF(E$2,_xll.NSGLABAL($F$3,$B17,E$5),_xll.NSGLABUD($F$3,$B$3,$B17,E$5))</f>
        <v>4141024.33</v>
      </c>
      <c r="F17" s="8">
        <f>IF(F$2,_xll.NSGLABAL($F$3,$B17,F$5),_xll.NSGLABUD($F$3,$B$3,$B17,F$5))</f>
        <v>904435.16</v>
      </c>
      <c r="G17" s="8">
        <f>IF(G$2,_xll.NSGLABAL($F$3,$B17,G$5),_xll.NSGLABUD($F$3,$B$3,$B17,G$5))</f>
        <v>14290.04</v>
      </c>
      <c r="H17" s="8">
        <f>IF(H$2,_xll.NSGLABAL($F$3,$B17,H$5),_xll.NSGLABUD($F$3,$B$3,$B17,H$5))</f>
        <v>49696.32</v>
      </c>
      <c r="I17" s="8">
        <f>IF(I$2,_xll.NSGLABAL($F$3,$B17,I$5),_xll.NSGLABUD($F$3,$B$3,$B17,I$5))</f>
        <v>57255.05</v>
      </c>
      <c r="J17" s="8">
        <f>IF(J$2,_xll.NSGLABAL($F$3,$B17,J$5),_xll.NSGLABUD($F$3,$B$3,$B17,J$5))</f>
        <v>7459.12</v>
      </c>
      <c r="K17" s="8">
        <f>IF(K$2,_xll.NSGLABAL($F$3,$B17,K$5),_xll.NSGLABUD($F$3,$B$3,$B17,K$5))</f>
        <v>12021.5</v>
      </c>
      <c r="L17" s="8">
        <f>IF(L$2,_xll.NSGLABAL($F$3,$B17,L$5),_xll.NSGLABUD($F$3,$B$3,$B17,L$5))</f>
        <v>17544.240000000002</v>
      </c>
      <c r="M17" s="8">
        <f>IF(M$2,_xll.NSGLABAL($F$3,$B17,M$5),_xll.NSGLABUD($F$3,$B$3,$B17,M$5))</f>
        <v>508107.52000000002</v>
      </c>
      <c r="N17" s="8">
        <f>IF(N$2,_xll.NSGLABAL($F$3,$B17,N$5),_xll.NSGLABUD($F$3,$B$3,$B17,N$5))</f>
        <v>190886.02</v>
      </c>
      <c r="O17" s="8">
        <f>IF(O$2,_xll.NSGLABAL($F$3,$B17,O$5),_xll.NSGLABUD($F$3,$B$3,$B17,O$5))</f>
        <v>138818.75</v>
      </c>
      <c r="P17" s="14">
        <f>IF(P$2,_xll.NSGLABAL($F$3,$B17,P$5),_xll.NSGLABUD($F$3,$B$3,$B17,P$5))</f>
        <v>166218.26999999999</v>
      </c>
      <c r="Q17" s="15"/>
      <c r="R17" s="9">
        <f t="shared" si="6"/>
        <v>6207756.3200000003</v>
      </c>
    </row>
    <row r="18" spans="2:18" ht="16.899999999999999" customHeight="1" x14ac:dyDescent="0.35">
      <c r="B18" s="6" t="str">
        <f>IF(TRUE,"5004","LI(2,0)")</f>
        <v>5004</v>
      </c>
      <c r="C18" s="10" t="str">
        <f>IF(TRUE,"Service","LI(2,1)")</f>
        <v>Service</v>
      </c>
      <c r="D18" s="7"/>
      <c r="E18" s="2">
        <f>IF(E$2,_xll.NSGLABAL($F$3,$B18,E$5),_xll.NSGLABUD($F$3,$B$3,$B18,E$5))</f>
        <v>73643.289999999994</v>
      </c>
      <c r="F18" s="8">
        <f>IF(F$2,_xll.NSGLABAL($F$3,$B18,F$5),_xll.NSGLABUD($F$3,$B$3,$B18,F$5))</f>
        <v>114453.66</v>
      </c>
      <c r="G18" s="8">
        <f>IF(G$2,_xll.NSGLABAL($F$3,$B18,G$5),_xll.NSGLABUD($F$3,$B$3,$B18,G$5))</f>
        <v>96640.03</v>
      </c>
      <c r="H18" s="8">
        <f>IF(H$2,_xll.NSGLABAL($F$3,$B18,H$5),_xll.NSGLABUD($F$3,$B$3,$B18,H$5))</f>
        <v>82768.78</v>
      </c>
      <c r="I18" s="8">
        <f>IF(I$2,_xll.NSGLABAL($F$3,$B18,I$5),_xll.NSGLABUD($F$3,$B$3,$B18,I$5))</f>
        <v>106681.53</v>
      </c>
      <c r="J18" s="8">
        <f>IF(J$2,_xll.NSGLABAL($F$3,$B18,J$5),_xll.NSGLABUD($F$3,$B$3,$B18,J$5))</f>
        <v>81565.22</v>
      </c>
      <c r="K18" s="8">
        <f>IF(K$2,_xll.NSGLABAL($F$3,$B18,K$5),_xll.NSGLABUD($F$3,$B$3,$B18,K$5))</f>
        <v>9889.2000000000007</v>
      </c>
      <c r="L18" s="8">
        <f>IF(L$2,_xll.NSGLABAL($F$3,$B18,L$5),_xll.NSGLABUD($F$3,$B$3,$B18,L$5))</f>
        <v>8412.51</v>
      </c>
      <c r="M18" s="8">
        <f>IF(M$2,_xll.NSGLABAL($F$3,$B18,M$5),_xll.NSGLABUD($F$3,$B$3,$B18,M$5))</f>
        <v>10535.74</v>
      </c>
      <c r="N18" s="8">
        <f>IF(N$2,_xll.NSGLABAL($F$3,$B18,N$5),_xll.NSGLABUD($F$3,$B$3,$B18,N$5))</f>
        <v>11092.18</v>
      </c>
      <c r="O18" s="8">
        <f>IF(O$2,_xll.NSGLABAL($F$3,$B18,O$5),_xll.NSGLABUD($F$3,$B$3,$B18,O$5))</f>
        <v>10032.24</v>
      </c>
      <c r="P18" s="14">
        <f>IF(P$2,_xll.NSGLABAL($F$3,$B18,P$5),_xll.NSGLABUD($F$3,$B$3,$B18,P$5))</f>
        <v>14007.03</v>
      </c>
      <c r="Q18" s="15"/>
      <c r="R18" s="9">
        <f t="shared" si="6"/>
        <v>619721.41</v>
      </c>
    </row>
    <row r="19" spans="2:18" ht="16.899999999999999" customHeight="1" x14ac:dyDescent="0.35">
      <c r="B19" s="6" t="str">
        <f>IF(TRUE,"5020","LI(3,0)")</f>
        <v>5020</v>
      </c>
      <c r="C19" s="10" t="str">
        <f>IF(TRUE,"Salaries &amp; Wages","LI(3,1)")</f>
        <v>Salaries &amp; Wages</v>
      </c>
      <c r="D19" s="7"/>
      <c r="E19" s="2">
        <f>IF(E$2,_xll.NSGLABAL($F$3,$B19,E$5),_xll.NSGLABUD($F$3,$B$3,$B19,E$5))</f>
        <v>10250399.720000001</v>
      </c>
      <c r="F19" s="8">
        <f>IF(F$2,_xll.NSGLABAL($F$3,$B19,F$5),_xll.NSGLABUD($F$3,$B$3,$B19,F$5))</f>
        <v>5033231.9800000004</v>
      </c>
      <c r="G19" s="8">
        <f>IF(G$2,_xll.NSGLABAL($F$3,$B19,G$5),_xll.NSGLABUD($F$3,$B$3,$B19,G$5))</f>
        <v>3848112.8</v>
      </c>
      <c r="H19" s="8">
        <f>IF(H$2,_xll.NSGLABAL($F$3,$B19,H$5),_xll.NSGLABUD($F$3,$B$3,$B19,H$5))</f>
        <v>3545191.12</v>
      </c>
      <c r="I19" s="8">
        <f>IF(I$2,_xll.NSGLABAL($F$3,$B19,I$5),_xll.NSGLABUD($F$3,$B$3,$B19,I$5))</f>
        <v>3556164.3</v>
      </c>
      <c r="J19" s="8">
        <f>IF(J$2,_xll.NSGLABAL($F$3,$B19,J$5),_xll.NSGLABUD($F$3,$B$3,$B19,J$5))</f>
        <v>922596.7</v>
      </c>
      <c r="K19" s="8">
        <f>IF(K$2,_xll.NSGLABAL($F$3,$B19,K$5),_xll.NSGLABUD($F$3,$B$3,$B19,K$5))</f>
        <v>132728.06</v>
      </c>
      <c r="L19" s="8">
        <f>IF(L$2,_xll.NSGLABAL($F$3,$B19,L$5),_xll.NSGLABUD($F$3,$B$3,$B19,L$5))</f>
        <v>130798.18</v>
      </c>
      <c r="M19" s="8">
        <f>IF(M$2,_xll.NSGLABAL($F$3,$B19,M$5),_xll.NSGLABUD($F$3,$B$3,$B19,M$5))</f>
        <v>844886.64</v>
      </c>
      <c r="N19" s="8">
        <f>IF(N$2,_xll.NSGLABAL($F$3,$B19,N$5),_xll.NSGLABUD($F$3,$B$3,$B19,N$5))</f>
        <v>354964.68</v>
      </c>
      <c r="O19" s="8">
        <f>IF(O$2,_xll.NSGLABAL($F$3,$B19,O$5),_xll.NSGLABUD($F$3,$B$3,$B19,O$5))</f>
        <v>284150.88</v>
      </c>
      <c r="P19" s="14">
        <f>IF(P$2,_xll.NSGLABAL($F$3,$B19,P$5),_xll.NSGLABUD($F$3,$B$3,$B19,P$5))</f>
        <v>367047.38</v>
      </c>
      <c r="Q19" s="15"/>
      <c r="R19" s="9">
        <f t="shared" si="6"/>
        <v>29270272.439999998</v>
      </c>
    </row>
    <row r="20" spans="2:18" ht="16.899999999999999" customHeight="1" x14ac:dyDescent="0.35">
      <c r="B20" s="6" t="str">
        <f>IF(TRUE,"5040","LI(4,0)")</f>
        <v>5040</v>
      </c>
      <c r="C20" s="10" t="str">
        <f>IF(TRUE,"Damaged Goods","LI(4,1)")</f>
        <v>Damaged Goods</v>
      </c>
      <c r="D20" s="7"/>
      <c r="E20" s="2">
        <f>IF(E$2,_xll.NSGLABAL($F$3,$B20,E$5),_xll.NSGLABUD($F$3,$B$3,$B20,E$5))</f>
        <v>284100.96999999997</v>
      </c>
      <c r="F20" s="8">
        <f>IF(F$2,_xll.NSGLABAL($F$3,$B20,F$5),_xll.NSGLABUD($F$3,$B$3,$B20,F$5))</f>
        <v>268978.96999999997</v>
      </c>
      <c r="G20" s="8">
        <f>IF(G$2,_xll.NSGLABAL($F$3,$B20,G$5),_xll.NSGLABUD($F$3,$B$3,$B20,G$5))</f>
        <v>267603.5</v>
      </c>
      <c r="H20" s="8">
        <f>IF(H$2,_xll.NSGLABAL($F$3,$B20,H$5),_xll.NSGLABUD($F$3,$B$3,$B20,H$5))</f>
        <v>15248.5</v>
      </c>
      <c r="I20" s="8">
        <f>IF(I$2,_xll.NSGLABAL($F$3,$B20,I$5),_xll.NSGLABUD($F$3,$B$3,$B20,I$5))</f>
        <v>16105.45</v>
      </c>
      <c r="J20" s="8">
        <f>IF(J$2,_xll.NSGLABAL($F$3,$B20,J$5),_xll.NSGLABUD($F$3,$B$3,$B20,J$5))</f>
        <v>7886.25</v>
      </c>
      <c r="K20" s="8">
        <f>IF(K$2,_xll.NSGLABAL($F$3,$B20,K$5),_xll.NSGLABUD($F$3,$B$3,$B20,K$5))</f>
        <v>743.53</v>
      </c>
      <c r="L20" s="8">
        <f>IF(L$2,_xll.NSGLABAL($F$3,$B20,L$5),_xll.NSGLABUD($F$3,$B$3,$B20,L$5))</f>
        <v>558.76</v>
      </c>
      <c r="M20" s="8">
        <f>IF(M$2,_xll.NSGLABAL($F$3,$B20,M$5),_xll.NSGLABUD($F$3,$B$3,$B20,M$5))</f>
        <v>50556.45</v>
      </c>
      <c r="N20" s="8">
        <f>IF(N$2,_xll.NSGLABAL($F$3,$B20,N$5),_xll.NSGLABUD($F$3,$B$3,$B20,N$5))</f>
        <v>16616.39</v>
      </c>
      <c r="O20" s="8">
        <f>IF(O$2,_xll.NSGLABAL($F$3,$B20,O$5),_xll.NSGLABUD($F$3,$B$3,$B20,O$5))</f>
        <v>11616.39</v>
      </c>
      <c r="P20" s="14">
        <f>IF(P$2,_xll.NSGLABAL($F$3,$B20,P$5),_xll.NSGLABUD($F$3,$B$3,$B20,P$5))</f>
        <v>11616.39</v>
      </c>
      <c r="Q20" s="15"/>
      <c r="R20" s="9">
        <f t="shared" si="6"/>
        <v>951631.54999999993</v>
      </c>
    </row>
    <row r="21" spans="2:18" ht="16.899999999999999" customHeight="1" x14ac:dyDescent="0.35">
      <c r="B21" s="6" t="str">
        <f>IF(TRUE,"5080","LI(5,0)")</f>
        <v>5080</v>
      </c>
      <c r="C21" s="10" t="str">
        <f>IF(TRUE,"Inventory Write Offs","LI(5,1)")</f>
        <v>Inventory Write Offs</v>
      </c>
      <c r="D21" s="7"/>
      <c r="E21" s="2">
        <f>IF(E$2,_xll.NSGLABAL($F$3,$B21,E$5),_xll.NSGLABUD($F$3,$B$3,$B21,E$5))</f>
        <v>91255.59</v>
      </c>
      <c r="F21" s="8">
        <f>IF(F$2,_xll.NSGLABAL($F$3,$B21,F$5),_xll.NSGLABUD($F$3,$B$3,$B21,F$5))</f>
        <v>-8059.41</v>
      </c>
      <c r="G21" s="8">
        <f>IF(G$2,_xll.NSGLABAL($F$3,$B21,G$5),_xll.NSGLABUD($F$3,$B$3,$B21,G$5))</f>
        <v>100000</v>
      </c>
      <c r="H21" s="8">
        <f>IF(H$2,_xll.NSGLABAL($F$3,$B21,H$5),_xll.NSGLABUD($F$3,$B$3,$B21,H$5))</f>
        <v>107374.25</v>
      </c>
      <c r="I21" s="8">
        <f>IF(I$2,_xll.NSGLABAL($F$3,$B21,I$5),_xll.NSGLABUD($F$3,$B$3,$B21,I$5))</f>
        <v>150000</v>
      </c>
      <c r="J21" s="8">
        <f>IF(J$2,_xll.NSGLABAL($F$3,$B21,J$5),_xll.NSGLABUD($F$3,$B$3,$B21,J$5))</f>
        <v>0</v>
      </c>
      <c r="K21" s="8">
        <f>IF(K$2,_xll.NSGLABAL($F$3,$B21,K$5),_xll.NSGLABUD($F$3,$B$3,$B21,K$5))</f>
        <v>0</v>
      </c>
      <c r="L21" s="8">
        <f>IF(L$2,_xll.NSGLABAL($F$3,$B21,L$5),_xll.NSGLABUD($F$3,$B$3,$B21,L$5))</f>
        <v>0</v>
      </c>
      <c r="M21" s="8">
        <f>IF(M$2,_xll.NSGLABAL($F$3,$B21,M$5),_xll.NSGLABUD($F$3,$B$3,$B21,M$5))</f>
        <v>15000</v>
      </c>
      <c r="N21" s="8">
        <f>IF(N$2,_xll.NSGLABAL($F$3,$B21,N$5),_xll.NSGLABUD($F$3,$B$3,$B21,N$5))</f>
        <v>1059.94</v>
      </c>
      <c r="O21" s="8">
        <f>IF(O$2,_xll.NSGLABAL($F$3,$B21,O$5),_xll.NSGLABUD($F$3,$B$3,$B21,O$5))</f>
        <v>1059.94</v>
      </c>
      <c r="P21" s="14">
        <f>IF(P$2,_xll.NSGLABAL($F$3,$B21,P$5),_xll.NSGLABUD($F$3,$B$3,$B21,P$5))</f>
        <v>41498.58</v>
      </c>
      <c r="Q21" s="15"/>
      <c r="R21" s="9">
        <f t="shared" si="6"/>
        <v>499188.89</v>
      </c>
    </row>
    <row r="22" spans="2:18" ht="16.899999999999999" hidden="1" customHeight="1" x14ac:dyDescent="0.35">
      <c r="B22" s="6" t="str">
        <f>IF(TRUE,"5085","LI(6,0)")</f>
        <v>5085</v>
      </c>
      <c r="C22" s="10" t="str">
        <f>IF(TRUE,"Customer Return Variance","LI(6,1)")</f>
        <v>Customer Return Variance</v>
      </c>
      <c r="D22" s="7"/>
      <c r="E22" s="2">
        <f>IF(E$2,_xll.NSGLABAL($F$3,$B22,E$5),_xll.NSGLABUD($F$3,$B$3,$B22,E$5))</f>
        <v>0</v>
      </c>
      <c r="F22" s="8">
        <f>IF(F$2,_xll.NSGLABAL($F$3,$B22,F$5),_xll.NSGLABUD($F$3,$B$3,$B22,F$5))</f>
        <v>0</v>
      </c>
      <c r="G22" s="8">
        <f>IF(G$2,_xll.NSGLABAL($F$3,$B22,G$5),_xll.NSGLABUD($F$3,$B$3,$B22,G$5))</f>
        <v>0</v>
      </c>
      <c r="H22" s="8">
        <f>IF(H$2,_xll.NSGLABAL($F$3,$B22,H$5),_xll.NSGLABUD($F$3,$B$3,$B22,H$5))</f>
        <v>0</v>
      </c>
      <c r="I22" s="8">
        <f>IF(I$2,_xll.NSGLABAL($F$3,$B22,I$5),_xll.NSGLABUD($F$3,$B$3,$B22,I$5))</f>
        <v>0</v>
      </c>
      <c r="J22" s="8">
        <f>IF(J$2,_xll.NSGLABAL($F$3,$B22,J$5),_xll.NSGLABUD($F$3,$B$3,$B22,J$5))</f>
        <v>0</v>
      </c>
      <c r="K22" s="8">
        <f>IF(K$2,_xll.NSGLABAL($F$3,$B22,K$5),_xll.NSGLABUD($F$3,$B$3,$B22,K$5))</f>
        <v>0</v>
      </c>
      <c r="L22" s="8">
        <f>IF(L$2,_xll.NSGLABAL($F$3,$B22,L$5),_xll.NSGLABUD($F$3,$B$3,$B22,L$5))</f>
        <v>0</v>
      </c>
      <c r="M22" s="8">
        <f>IF(M$2,_xll.NSGLABAL($F$3,$B22,M$5),_xll.NSGLABUD($F$3,$B$3,$B22,M$5))</f>
        <v>0</v>
      </c>
      <c r="N22" s="8">
        <f>IF(N$2,_xll.NSGLABAL($F$3,$B22,N$5),_xll.NSGLABUD($F$3,$B$3,$B22,N$5))</f>
        <v>0</v>
      </c>
      <c r="O22" s="8">
        <f>IF(O$2,_xll.NSGLABAL($F$3,$B22,O$5),_xll.NSGLABUD($F$3,$B$3,$B22,O$5))</f>
        <v>0</v>
      </c>
      <c r="P22" s="14">
        <f>IF(P$2,_xll.NSGLABAL($F$3,$B22,P$5),_xll.NSGLABUD($F$3,$B$3,$B22,P$5))</f>
        <v>0</v>
      </c>
      <c r="Q22" s="15"/>
      <c r="R22" s="9">
        <f t="shared" si="6"/>
        <v>0</v>
      </c>
    </row>
    <row r="23" spans="2:18" ht="16.899999999999999" hidden="1" customHeight="1" x14ac:dyDescent="0.35">
      <c r="B23" s="6" t="str">
        <f>IF(TRUE,"5086","LI(7,0)")</f>
        <v>5086</v>
      </c>
      <c r="C23" s="10" t="str">
        <f>IF(TRUE,"Vendor Return Variance","LI(7,1)")</f>
        <v>Vendor Return Variance</v>
      </c>
      <c r="D23" s="7"/>
      <c r="E23" s="2">
        <f>IF(E$2,_xll.NSGLABAL($F$3,$B23,E$5),_xll.NSGLABUD($F$3,$B$3,$B23,E$5))</f>
        <v>0</v>
      </c>
      <c r="F23" s="8">
        <f>IF(F$2,_xll.NSGLABAL($F$3,$B23,F$5),_xll.NSGLABUD($F$3,$B$3,$B23,F$5))</f>
        <v>0</v>
      </c>
      <c r="G23" s="8">
        <f>IF(G$2,_xll.NSGLABAL($F$3,$B23,G$5),_xll.NSGLABUD($F$3,$B$3,$B23,G$5))</f>
        <v>0</v>
      </c>
      <c r="H23" s="8">
        <f>IF(H$2,_xll.NSGLABAL($F$3,$B23,H$5),_xll.NSGLABUD($F$3,$B$3,$B23,H$5))</f>
        <v>0</v>
      </c>
      <c r="I23" s="8">
        <f>IF(I$2,_xll.NSGLABAL($F$3,$B23,I$5),_xll.NSGLABUD($F$3,$B$3,$B23,I$5))</f>
        <v>0</v>
      </c>
      <c r="J23" s="8">
        <f>IF(J$2,_xll.NSGLABAL($F$3,$B23,J$5),_xll.NSGLABUD($F$3,$B$3,$B23,J$5))</f>
        <v>0</v>
      </c>
      <c r="K23" s="8">
        <f>IF(K$2,_xll.NSGLABAL($F$3,$B23,K$5),_xll.NSGLABUD($F$3,$B$3,$B23,K$5))</f>
        <v>0</v>
      </c>
      <c r="L23" s="8">
        <f>IF(L$2,_xll.NSGLABAL($F$3,$B23,L$5),_xll.NSGLABUD($F$3,$B$3,$B23,L$5))</f>
        <v>0</v>
      </c>
      <c r="M23" s="8">
        <f>IF(M$2,_xll.NSGLABAL($F$3,$B23,M$5),_xll.NSGLABUD($F$3,$B$3,$B23,M$5))</f>
        <v>0</v>
      </c>
      <c r="N23" s="8">
        <f>IF(N$2,_xll.NSGLABAL($F$3,$B23,N$5),_xll.NSGLABUD($F$3,$B$3,$B23,N$5))</f>
        <v>0</v>
      </c>
      <c r="O23" s="8">
        <f>IF(O$2,_xll.NSGLABAL($F$3,$B23,O$5),_xll.NSGLABUD($F$3,$B$3,$B23,O$5))</f>
        <v>0</v>
      </c>
      <c r="P23" s="14">
        <f>IF(P$2,_xll.NSGLABAL($F$3,$B23,P$5),_xll.NSGLABUD($F$3,$B$3,$B23,P$5))</f>
        <v>0</v>
      </c>
      <c r="Q23" s="15"/>
      <c r="R23" s="9">
        <f t="shared" si="6"/>
        <v>0</v>
      </c>
    </row>
    <row r="24" spans="2:18" ht="16.899999999999999" customHeight="1" x14ac:dyDescent="0.35">
      <c r="B24" s="6" t="str">
        <f>IF(TRUE,"5090","LI(8,0)")</f>
        <v>5090</v>
      </c>
      <c r="C24" s="10" t="str">
        <f>IF(TRUE,"Inventory Variance","LI(8,1)")</f>
        <v>Inventory Variance</v>
      </c>
      <c r="D24" s="7"/>
      <c r="E24" s="2">
        <f>IF(E$2,_xll.NSGLABAL($F$3,$B24,E$5),_xll.NSGLABUD($F$3,$B$3,$B24,E$5))</f>
        <v>-264.99</v>
      </c>
      <c r="F24" s="8">
        <f>IF(F$2,_xll.NSGLABAL($F$3,$B24,F$5),_xll.NSGLABUD($F$3,$B$3,$B24,F$5))</f>
        <v>794.96</v>
      </c>
      <c r="G24" s="8">
        <f>IF(G$2,_xll.NSGLABAL($F$3,$B24,G$5),_xll.NSGLABUD($F$3,$B$3,$B24,G$5))</f>
        <v>-3179.83</v>
      </c>
      <c r="H24" s="8">
        <f>IF(H$2,_xll.NSGLABAL($F$3,$B24,H$5),_xll.NSGLABUD($F$3,$B$3,$B24,H$5))</f>
        <v>1059.94</v>
      </c>
      <c r="I24" s="8">
        <f>IF(I$2,_xll.NSGLABAL($F$3,$B24,I$5),_xll.NSGLABUD($F$3,$B$3,$B24,I$5))</f>
        <v>1642.91</v>
      </c>
      <c r="J24" s="8">
        <f>IF(J$2,_xll.NSGLABAL($F$3,$B24,J$5),_xll.NSGLABUD($F$3,$B$3,$B24,J$5))</f>
        <v>-529.97</v>
      </c>
      <c r="K24" s="8">
        <f>IF(K$2,_xll.NSGLABAL($F$3,$B24,K$5),_xll.NSGLABUD($F$3,$B$3,$B24,K$5))</f>
        <v>-1059.94</v>
      </c>
      <c r="L24" s="8">
        <f>IF(L$2,_xll.NSGLABAL($F$3,$B24,L$5),_xll.NSGLABUD($F$3,$B$3,$B24,L$5))</f>
        <v>-1059.94</v>
      </c>
      <c r="M24" s="8">
        <f>IF(M$2,_xll.NSGLABAL($F$3,$B24,M$5),_xll.NSGLABUD($F$3,$B$3,$B24,M$5))</f>
        <v>1059.94</v>
      </c>
      <c r="N24" s="8">
        <f>IF(N$2,_xll.NSGLABAL($F$3,$B24,N$5),_xll.NSGLABUD($F$3,$B$3,$B24,N$5))</f>
        <v>1059.94</v>
      </c>
      <c r="O24" s="8">
        <f>IF(O$2,_xll.NSGLABAL($F$3,$B24,O$5),_xll.NSGLABUD($F$3,$B$3,$B24,O$5))</f>
        <v>1059.94</v>
      </c>
      <c r="P24" s="14">
        <f>IF(P$2,_xll.NSGLABAL($F$3,$B24,P$5),_xll.NSGLABUD($F$3,$B$3,$B24,P$5))</f>
        <v>2649.86</v>
      </c>
      <c r="Q24" s="15"/>
      <c r="R24" s="9">
        <f t="shared" si="6"/>
        <v>3232.8200000000006</v>
      </c>
    </row>
    <row r="25" spans="2:18" ht="16.899999999999999" hidden="1" customHeight="1" x14ac:dyDescent="0.35">
      <c r="B25" s="6" t="str">
        <f>IF(TRUE,"5091","LI(9,0)")</f>
        <v>5091</v>
      </c>
      <c r="C25" s="10" t="str">
        <f>IF(TRUE,"Inventory Transfer Price Gain / Loss","LI(9,1)")</f>
        <v>Inventory Transfer Price Gain / Loss</v>
      </c>
      <c r="D25" s="7"/>
      <c r="E25" s="2">
        <f>IF(E$2,_xll.NSGLABAL($F$3,$B25,E$5),_xll.NSGLABUD($F$3,$B$3,$B25,E$5))</f>
        <v>0</v>
      </c>
      <c r="F25" s="8">
        <f>IF(F$2,_xll.NSGLABAL($F$3,$B25,F$5),_xll.NSGLABUD($F$3,$B$3,$B25,F$5))</f>
        <v>0</v>
      </c>
      <c r="G25" s="8">
        <f>IF(G$2,_xll.NSGLABAL($F$3,$B25,G$5),_xll.NSGLABUD($F$3,$B$3,$B25,G$5))</f>
        <v>0</v>
      </c>
      <c r="H25" s="8">
        <f>IF(H$2,_xll.NSGLABAL($F$3,$B25,H$5),_xll.NSGLABUD($F$3,$B$3,$B25,H$5))</f>
        <v>0</v>
      </c>
      <c r="I25" s="8">
        <f>IF(I$2,_xll.NSGLABAL($F$3,$B25,I$5),_xll.NSGLABUD($F$3,$B$3,$B25,I$5))</f>
        <v>0</v>
      </c>
      <c r="J25" s="8">
        <f>IF(J$2,_xll.NSGLABAL($F$3,$B25,J$5),_xll.NSGLABUD($F$3,$B$3,$B25,J$5))</f>
        <v>0</v>
      </c>
      <c r="K25" s="8">
        <f>IF(K$2,_xll.NSGLABAL($F$3,$B25,K$5),_xll.NSGLABUD($F$3,$B$3,$B25,K$5))</f>
        <v>0</v>
      </c>
      <c r="L25" s="8">
        <f>IF(L$2,_xll.NSGLABAL($F$3,$B25,L$5),_xll.NSGLABUD($F$3,$B$3,$B25,L$5))</f>
        <v>0</v>
      </c>
      <c r="M25" s="8">
        <f>IF(M$2,_xll.NSGLABAL($F$3,$B25,M$5),_xll.NSGLABUD($F$3,$B$3,$B25,M$5))</f>
        <v>0</v>
      </c>
      <c r="N25" s="8">
        <f>IF(N$2,_xll.NSGLABAL($F$3,$B25,N$5),_xll.NSGLABUD($F$3,$B$3,$B25,N$5))</f>
        <v>0</v>
      </c>
      <c r="O25" s="8">
        <f>IF(O$2,_xll.NSGLABAL($F$3,$B25,O$5),_xll.NSGLABUD($F$3,$B$3,$B25,O$5))</f>
        <v>0</v>
      </c>
      <c r="P25" s="14">
        <f>IF(P$2,_xll.NSGLABAL($F$3,$B25,P$5),_xll.NSGLABUD($F$3,$B$3,$B25,P$5))</f>
        <v>0</v>
      </c>
      <c r="Q25" s="15"/>
      <c r="R25" s="9">
        <f t="shared" si="6"/>
        <v>0</v>
      </c>
    </row>
    <row r="26" spans="2:18" ht="16.899999999999999" customHeight="1" x14ac:dyDescent="0.35">
      <c r="B26" s="6" t="str">
        <f>IF(TRUE,"5092","LI(10,0)")</f>
        <v>5092</v>
      </c>
      <c r="C26" s="10" t="str">
        <f>IF(TRUE,"Purchase Price Variance","LI(10,1)")</f>
        <v>Purchase Price Variance</v>
      </c>
      <c r="D26" s="7"/>
      <c r="E26" s="2">
        <f>IF(E$2,_xll.NSGLABAL($F$3,$B26,E$5),_xll.NSGLABUD($F$3,$B$3,$B26,E$5))</f>
        <v>1400.1</v>
      </c>
      <c r="F26" s="8">
        <f>IF(F$2,_xll.NSGLABAL($F$3,$B26,F$5),_xll.NSGLABUD($F$3,$B$3,$B26,F$5))</f>
        <v>795.89</v>
      </c>
      <c r="G26" s="8">
        <f>IF(G$2,_xll.NSGLABAL($F$3,$B26,G$5),_xll.NSGLABUD($F$3,$B$3,$B26,G$5))</f>
        <v>62.5</v>
      </c>
      <c r="H26" s="8">
        <f>IF(H$2,_xll.NSGLABAL($F$3,$B26,H$5),_xll.NSGLABUD($F$3,$B$3,$B26,H$5))</f>
        <v>0</v>
      </c>
      <c r="I26" s="8">
        <f>IF(I$2,_xll.NSGLABAL($F$3,$B26,I$5),_xll.NSGLABUD($F$3,$B$3,$B26,I$5))</f>
        <v>0</v>
      </c>
      <c r="J26" s="8">
        <f>IF(J$2,_xll.NSGLABAL($F$3,$B26,J$5),_xll.NSGLABUD($F$3,$B$3,$B26,J$5))</f>
        <v>0</v>
      </c>
      <c r="K26" s="8">
        <f>IF(K$2,_xll.NSGLABAL($F$3,$B26,K$5),_xll.NSGLABUD($F$3,$B$3,$B26,K$5))</f>
        <v>0</v>
      </c>
      <c r="L26" s="8">
        <f>IF(L$2,_xll.NSGLABAL($F$3,$B26,L$5),_xll.NSGLABUD($F$3,$B$3,$B26,L$5))</f>
        <v>0</v>
      </c>
      <c r="M26" s="8">
        <f>IF(M$2,_xll.NSGLABAL($F$3,$B26,M$5),_xll.NSGLABUD($F$3,$B$3,$B26,M$5))</f>
        <v>0</v>
      </c>
      <c r="N26" s="8">
        <f>IF(N$2,_xll.NSGLABAL($F$3,$B26,N$5),_xll.NSGLABUD($F$3,$B$3,$B26,N$5))</f>
        <v>0</v>
      </c>
      <c r="O26" s="8">
        <f>IF(O$2,_xll.NSGLABAL($F$3,$B26,O$5),_xll.NSGLABUD($F$3,$B$3,$B26,O$5))</f>
        <v>0</v>
      </c>
      <c r="P26" s="14">
        <f>IF(P$2,_xll.NSGLABAL($F$3,$B26,P$5),_xll.NSGLABUD($F$3,$B$3,$B26,P$5))</f>
        <v>0</v>
      </c>
      <c r="Q26" s="15"/>
      <c r="R26" s="9">
        <f t="shared" si="6"/>
        <v>2258.4899999999998</v>
      </c>
    </row>
    <row r="27" spans="2:18" ht="16.899999999999999" customHeight="1" x14ac:dyDescent="0.35">
      <c r="B27" s="6" t="str">
        <f>IF(TRUE,"5093","LI(11,0)")</f>
        <v>5093</v>
      </c>
      <c r="C27" s="10" t="str">
        <f>IF(TRUE,"Build Price Variance","LI(11,1)")</f>
        <v>Build Price Variance</v>
      </c>
      <c r="D27" s="7"/>
      <c r="E27" s="2">
        <f>IF(E$2,_xll.NSGLABAL($F$3,$B27,E$5),_xll.NSGLABUD($F$3,$B$3,$B27,E$5))</f>
        <v>2631.18</v>
      </c>
      <c r="F27" s="8">
        <f>IF(F$2,_xll.NSGLABAL($F$3,$B27,F$5),_xll.NSGLABUD($F$3,$B$3,$B27,F$5))</f>
        <v>4982.24</v>
      </c>
      <c r="G27" s="8">
        <f>IF(G$2,_xll.NSGLABAL($F$3,$B27,G$5),_xll.NSGLABUD($F$3,$B$3,$B27,G$5))</f>
        <v>0</v>
      </c>
      <c r="H27" s="8">
        <f>IF(H$2,_xll.NSGLABAL($F$3,$B27,H$5),_xll.NSGLABUD($F$3,$B$3,$B27,H$5))</f>
        <v>0</v>
      </c>
      <c r="I27" s="8">
        <f>IF(I$2,_xll.NSGLABAL($F$3,$B27,I$5),_xll.NSGLABUD($F$3,$B$3,$B27,I$5))</f>
        <v>0</v>
      </c>
      <c r="J27" s="8">
        <f>IF(J$2,_xll.NSGLABAL($F$3,$B27,J$5),_xll.NSGLABUD($F$3,$B$3,$B27,J$5))</f>
        <v>0</v>
      </c>
      <c r="K27" s="8">
        <f>IF(K$2,_xll.NSGLABAL($F$3,$B27,K$5),_xll.NSGLABUD($F$3,$B$3,$B27,K$5))</f>
        <v>0</v>
      </c>
      <c r="L27" s="8">
        <f>IF(L$2,_xll.NSGLABAL($F$3,$B27,L$5),_xll.NSGLABUD($F$3,$B$3,$B27,L$5))</f>
        <v>0</v>
      </c>
      <c r="M27" s="8">
        <f>IF(M$2,_xll.NSGLABAL($F$3,$B27,M$5),_xll.NSGLABUD($F$3,$B$3,$B27,M$5))</f>
        <v>0</v>
      </c>
      <c r="N27" s="8">
        <f>IF(N$2,_xll.NSGLABAL($F$3,$B27,N$5),_xll.NSGLABUD($F$3,$B$3,$B27,N$5))</f>
        <v>0</v>
      </c>
      <c r="O27" s="8">
        <f>IF(O$2,_xll.NSGLABAL($F$3,$B27,O$5),_xll.NSGLABUD($F$3,$B$3,$B27,O$5))</f>
        <v>0</v>
      </c>
      <c r="P27" s="14">
        <f>IF(P$2,_xll.NSGLABAL($F$3,$B27,P$5),_xll.NSGLABUD($F$3,$B$3,$B27,P$5))</f>
        <v>0</v>
      </c>
      <c r="Q27" s="15"/>
      <c r="R27" s="9">
        <f t="shared" si="6"/>
        <v>7613.42</v>
      </c>
    </row>
    <row r="28" spans="2:18" ht="16.899999999999999" customHeight="1" x14ac:dyDescent="0.35">
      <c r="B28" s="6" t="str">
        <f>IF(TRUE,"5094","LI(12,0)")</f>
        <v>5094</v>
      </c>
      <c r="C28" s="10" t="str">
        <f>IF(TRUE,"Build Quantity Variance","LI(12,1)")</f>
        <v>Build Quantity Variance</v>
      </c>
      <c r="D28" s="7"/>
      <c r="E28" s="2">
        <f>IF(E$2,_xll.NSGLABAL($F$3,$B28,E$5),_xll.NSGLABUD($F$3,$B$3,$B28,E$5))</f>
        <v>-1616.25</v>
      </c>
      <c r="F28" s="8">
        <f>IF(F$2,_xll.NSGLABAL($F$3,$B28,F$5),_xll.NSGLABUD($F$3,$B$3,$B28,F$5))</f>
        <v>-12442.24</v>
      </c>
      <c r="G28" s="8">
        <f>IF(G$2,_xll.NSGLABAL($F$3,$B28,G$5),_xll.NSGLABUD($F$3,$B$3,$B28,G$5))</f>
        <v>0</v>
      </c>
      <c r="H28" s="8">
        <f>IF(H$2,_xll.NSGLABAL($F$3,$B28,H$5),_xll.NSGLABUD($F$3,$B$3,$B28,H$5))</f>
        <v>0</v>
      </c>
      <c r="I28" s="8">
        <f>IF(I$2,_xll.NSGLABAL($F$3,$B28,I$5),_xll.NSGLABUD($F$3,$B$3,$B28,I$5))</f>
        <v>0</v>
      </c>
      <c r="J28" s="8">
        <f>IF(J$2,_xll.NSGLABAL($F$3,$B28,J$5),_xll.NSGLABUD($F$3,$B$3,$B28,J$5))</f>
        <v>0</v>
      </c>
      <c r="K28" s="8">
        <f>IF(K$2,_xll.NSGLABAL($F$3,$B28,K$5),_xll.NSGLABUD($F$3,$B$3,$B28,K$5))</f>
        <v>0</v>
      </c>
      <c r="L28" s="8">
        <f>IF(L$2,_xll.NSGLABAL($F$3,$B28,L$5),_xll.NSGLABUD($F$3,$B$3,$B28,L$5))</f>
        <v>0</v>
      </c>
      <c r="M28" s="8">
        <f>IF(M$2,_xll.NSGLABAL($F$3,$B28,M$5),_xll.NSGLABUD($F$3,$B$3,$B28,M$5))</f>
        <v>0</v>
      </c>
      <c r="N28" s="8">
        <f>IF(N$2,_xll.NSGLABAL($F$3,$B28,N$5),_xll.NSGLABUD($F$3,$B$3,$B28,N$5))</f>
        <v>0</v>
      </c>
      <c r="O28" s="8">
        <f>IF(O$2,_xll.NSGLABAL($F$3,$B28,O$5),_xll.NSGLABUD($F$3,$B$3,$B28,O$5))</f>
        <v>0</v>
      </c>
      <c r="P28" s="14">
        <f>IF(P$2,_xll.NSGLABAL($F$3,$B28,P$5),_xll.NSGLABUD($F$3,$B$3,$B28,P$5))</f>
        <v>0</v>
      </c>
      <c r="Q28" s="15"/>
      <c r="R28" s="9">
        <f t="shared" si="6"/>
        <v>-14058.49</v>
      </c>
    </row>
    <row r="29" spans="2:18" ht="16.899999999999999" hidden="1" customHeight="1" x14ac:dyDescent="0.35">
      <c r="B29" s="6" t="str">
        <f>IF(TRUE,"5095","LI(13,0)")</f>
        <v>5095</v>
      </c>
      <c r="C29" s="10" t="str">
        <f>IF(TRUE,"Bill Quantity Variance","LI(13,1)")</f>
        <v>Bill Quantity Variance</v>
      </c>
      <c r="D29" s="7"/>
      <c r="E29" s="2">
        <f>IF(E$2,_xll.NSGLABAL($F$3,$B29,E$5),_xll.NSGLABUD($F$3,$B$3,$B29,E$5))</f>
        <v>0</v>
      </c>
      <c r="F29" s="8">
        <f>IF(F$2,_xll.NSGLABAL($F$3,$B29,F$5),_xll.NSGLABUD($F$3,$B$3,$B29,F$5))</f>
        <v>0</v>
      </c>
      <c r="G29" s="8">
        <f>IF(G$2,_xll.NSGLABAL($F$3,$B29,G$5),_xll.NSGLABUD($F$3,$B$3,$B29,G$5))</f>
        <v>0</v>
      </c>
      <c r="H29" s="8">
        <f>IF(H$2,_xll.NSGLABAL($F$3,$B29,H$5),_xll.NSGLABUD($F$3,$B$3,$B29,H$5))</f>
        <v>0</v>
      </c>
      <c r="I29" s="8">
        <f>IF(I$2,_xll.NSGLABAL($F$3,$B29,I$5),_xll.NSGLABUD($F$3,$B$3,$B29,I$5))</f>
        <v>0</v>
      </c>
      <c r="J29" s="8">
        <f>IF(J$2,_xll.NSGLABAL($F$3,$B29,J$5),_xll.NSGLABUD($F$3,$B$3,$B29,J$5))</f>
        <v>0</v>
      </c>
      <c r="K29" s="8">
        <f>IF(K$2,_xll.NSGLABAL($F$3,$B29,K$5),_xll.NSGLABUD($F$3,$B$3,$B29,K$5))</f>
        <v>0</v>
      </c>
      <c r="L29" s="8">
        <f>IF(L$2,_xll.NSGLABAL($F$3,$B29,L$5),_xll.NSGLABUD($F$3,$B$3,$B29,L$5))</f>
        <v>0</v>
      </c>
      <c r="M29" s="8">
        <f>IF(M$2,_xll.NSGLABAL($F$3,$B29,M$5),_xll.NSGLABUD($F$3,$B$3,$B29,M$5))</f>
        <v>0</v>
      </c>
      <c r="N29" s="8">
        <f>IF(N$2,_xll.NSGLABAL($F$3,$B29,N$5),_xll.NSGLABUD($F$3,$B$3,$B29,N$5))</f>
        <v>0</v>
      </c>
      <c r="O29" s="8">
        <f>IF(O$2,_xll.NSGLABAL($F$3,$B29,O$5),_xll.NSGLABUD($F$3,$B$3,$B29,O$5))</f>
        <v>0</v>
      </c>
      <c r="P29" s="14">
        <f>IF(P$2,_xll.NSGLABAL($F$3,$B29,P$5),_xll.NSGLABUD($F$3,$B$3,$B29,P$5))</f>
        <v>0</v>
      </c>
      <c r="Q29" s="15"/>
      <c r="R29" s="9">
        <f t="shared" si="6"/>
        <v>0</v>
      </c>
    </row>
    <row r="30" spans="2:18" ht="16.899999999999999" hidden="1" customHeight="1" x14ac:dyDescent="0.35">
      <c r="B30" s="6" t="str">
        <f>IF(TRUE,"5096","LI(14,0)")</f>
        <v>5096</v>
      </c>
      <c r="C30" s="10" t="str">
        <f>IF(TRUE,"Bill Price Variance","LI(14,1)")</f>
        <v>Bill Price Variance</v>
      </c>
      <c r="D30" s="7"/>
      <c r="E30" s="2">
        <f>IF(E$2,_xll.NSGLABAL($F$3,$B30,E$5),_xll.NSGLABUD($F$3,$B$3,$B30,E$5))</f>
        <v>0</v>
      </c>
      <c r="F30" s="8">
        <f>IF(F$2,_xll.NSGLABAL($F$3,$B30,F$5),_xll.NSGLABUD($F$3,$B$3,$B30,F$5))</f>
        <v>0</v>
      </c>
      <c r="G30" s="8">
        <f>IF(G$2,_xll.NSGLABAL($F$3,$B30,G$5),_xll.NSGLABUD($F$3,$B$3,$B30,G$5))</f>
        <v>0</v>
      </c>
      <c r="H30" s="8">
        <f>IF(H$2,_xll.NSGLABAL($F$3,$B30,H$5),_xll.NSGLABUD($F$3,$B$3,$B30,H$5))</f>
        <v>0</v>
      </c>
      <c r="I30" s="8">
        <f>IF(I$2,_xll.NSGLABAL($F$3,$B30,I$5),_xll.NSGLABUD($F$3,$B$3,$B30,I$5))</f>
        <v>0</v>
      </c>
      <c r="J30" s="8">
        <f>IF(J$2,_xll.NSGLABAL($F$3,$B30,J$5),_xll.NSGLABUD($F$3,$B$3,$B30,J$5))</f>
        <v>0</v>
      </c>
      <c r="K30" s="8">
        <f>IF(K$2,_xll.NSGLABAL($F$3,$B30,K$5),_xll.NSGLABUD($F$3,$B$3,$B30,K$5))</f>
        <v>0</v>
      </c>
      <c r="L30" s="8">
        <f>IF(L$2,_xll.NSGLABAL($F$3,$B30,L$5),_xll.NSGLABUD($F$3,$B$3,$B30,L$5))</f>
        <v>0</v>
      </c>
      <c r="M30" s="8">
        <f>IF(M$2,_xll.NSGLABAL($F$3,$B30,M$5),_xll.NSGLABUD($F$3,$B$3,$B30,M$5))</f>
        <v>0</v>
      </c>
      <c r="N30" s="8">
        <f>IF(N$2,_xll.NSGLABAL($F$3,$B30,N$5),_xll.NSGLABUD($F$3,$B$3,$B30,N$5))</f>
        <v>0</v>
      </c>
      <c r="O30" s="8">
        <f>IF(O$2,_xll.NSGLABAL($F$3,$B30,O$5),_xll.NSGLABUD($F$3,$B$3,$B30,O$5))</f>
        <v>0</v>
      </c>
      <c r="P30" s="14">
        <f>IF(P$2,_xll.NSGLABAL($F$3,$B30,P$5),_xll.NSGLABUD($F$3,$B$3,$B30,P$5))</f>
        <v>0</v>
      </c>
      <c r="Q30" s="15"/>
      <c r="R30" s="9">
        <f t="shared" si="6"/>
        <v>0</v>
      </c>
    </row>
    <row r="31" spans="2:18" ht="16.899999999999999" hidden="1" customHeight="1" x14ac:dyDescent="0.35">
      <c r="B31" s="6" t="str">
        <f>IF(TRUE,"5097","LI(15,0)")</f>
        <v>5097</v>
      </c>
      <c r="C31" s="10" t="str">
        <f>IF(TRUE,"Bill Exchange Rate Variance","LI(15,1)")</f>
        <v>Bill Exchange Rate Variance</v>
      </c>
      <c r="D31" s="7"/>
      <c r="E31" s="2">
        <f>IF(E$2,_xll.NSGLABAL($F$3,$B31,E$5),_xll.NSGLABUD($F$3,$B$3,$B31,E$5))</f>
        <v>0</v>
      </c>
      <c r="F31" s="8">
        <f>IF(F$2,_xll.NSGLABAL($F$3,$B31,F$5),_xll.NSGLABUD($F$3,$B$3,$B31,F$5))</f>
        <v>0</v>
      </c>
      <c r="G31" s="8">
        <f>IF(G$2,_xll.NSGLABAL($F$3,$B31,G$5),_xll.NSGLABUD($F$3,$B$3,$B31,G$5))</f>
        <v>0</v>
      </c>
      <c r="H31" s="8">
        <f>IF(H$2,_xll.NSGLABAL($F$3,$B31,H$5),_xll.NSGLABUD($F$3,$B$3,$B31,H$5))</f>
        <v>0</v>
      </c>
      <c r="I31" s="8">
        <f>IF(I$2,_xll.NSGLABAL($F$3,$B31,I$5),_xll.NSGLABUD($F$3,$B$3,$B31,I$5))</f>
        <v>0</v>
      </c>
      <c r="J31" s="8">
        <f>IF(J$2,_xll.NSGLABAL($F$3,$B31,J$5),_xll.NSGLABUD($F$3,$B$3,$B31,J$5))</f>
        <v>0</v>
      </c>
      <c r="K31" s="8">
        <f>IF(K$2,_xll.NSGLABAL($F$3,$B31,K$5),_xll.NSGLABUD($F$3,$B$3,$B31,K$5))</f>
        <v>0</v>
      </c>
      <c r="L31" s="8">
        <f>IF(L$2,_xll.NSGLABAL($F$3,$B31,L$5),_xll.NSGLABUD($F$3,$B$3,$B31,L$5))</f>
        <v>0</v>
      </c>
      <c r="M31" s="8">
        <f>IF(M$2,_xll.NSGLABAL($F$3,$B31,M$5),_xll.NSGLABUD($F$3,$B$3,$B31,M$5))</f>
        <v>0</v>
      </c>
      <c r="N31" s="8">
        <f>IF(N$2,_xll.NSGLABAL($F$3,$B31,N$5),_xll.NSGLABUD($F$3,$B$3,$B31,N$5))</f>
        <v>0</v>
      </c>
      <c r="O31" s="8">
        <f>IF(O$2,_xll.NSGLABAL($F$3,$B31,O$5),_xll.NSGLABUD($F$3,$B$3,$B31,O$5))</f>
        <v>0</v>
      </c>
      <c r="P31" s="14">
        <f>IF(P$2,_xll.NSGLABAL($F$3,$B31,P$5),_xll.NSGLABUD($F$3,$B$3,$B31,P$5))</f>
        <v>0</v>
      </c>
      <c r="Q31" s="15"/>
      <c r="R31" s="9">
        <f t="shared" si="6"/>
        <v>0</v>
      </c>
    </row>
    <row r="32" spans="2:18" ht="16.899999999999999" hidden="1" customHeight="1" x14ac:dyDescent="0.35">
      <c r="B32" s="6" t="str">
        <f>IF(TRUE,"5098","LI(16,0)")</f>
        <v>5098</v>
      </c>
      <c r="C32" s="10" t="str">
        <f>IF(TRUE,"Unbuild Variance","LI(16,1)")</f>
        <v>Unbuild Variance</v>
      </c>
      <c r="D32" s="7"/>
      <c r="E32" s="2">
        <f>IF(E$2,_xll.NSGLABAL($F$3,$B32,E$5),_xll.NSGLABUD($F$3,$B$3,$B32,E$5))</f>
        <v>0</v>
      </c>
      <c r="F32" s="8">
        <f>IF(F$2,_xll.NSGLABAL($F$3,$B32,F$5),_xll.NSGLABUD($F$3,$B$3,$B32,F$5))</f>
        <v>0</v>
      </c>
      <c r="G32" s="8">
        <f>IF(G$2,_xll.NSGLABAL($F$3,$B32,G$5),_xll.NSGLABUD($F$3,$B$3,$B32,G$5))</f>
        <v>0</v>
      </c>
      <c r="H32" s="8">
        <f>IF(H$2,_xll.NSGLABAL($F$3,$B32,H$5),_xll.NSGLABUD($F$3,$B$3,$B32,H$5))</f>
        <v>0</v>
      </c>
      <c r="I32" s="8">
        <f>IF(I$2,_xll.NSGLABAL($F$3,$B32,I$5),_xll.NSGLABUD($F$3,$B$3,$B32,I$5))</f>
        <v>0</v>
      </c>
      <c r="J32" s="8">
        <f>IF(J$2,_xll.NSGLABAL($F$3,$B32,J$5),_xll.NSGLABUD($F$3,$B$3,$B32,J$5))</f>
        <v>0</v>
      </c>
      <c r="K32" s="8">
        <f>IF(K$2,_xll.NSGLABAL($F$3,$B32,K$5),_xll.NSGLABUD($F$3,$B$3,$B32,K$5))</f>
        <v>0</v>
      </c>
      <c r="L32" s="8">
        <f>IF(L$2,_xll.NSGLABAL($F$3,$B32,L$5),_xll.NSGLABUD($F$3,$B$3,$B32,L$5))</f>
        <v>0</v>
      </c>
      <c r="M32" s="8">
        <f>IF(M$2,_xll.NSGLABAL($F$3,$B32,M$5),_xll.NSGLABUD($F$3,$B$3,$B32,M$5))</f>
        <v>0</v>
      </c>
      <c r="N32" s="8">
        <f>IF(N$2,_xll.NSGLABAL($F$3,$B32,N$5),_xll.NSGLABUD($F$3,$B$3,$B32,N$5))</f>
        <v>0</v>
      </c>
      <c r="O32" s="8">
        <f>IF(O$2,_xll.NSGLABAL($F$3,$B32,O$5),_xll.NSGLABUD($F$3,$B$3,$B32,O$5))</f>
        <v>0</v>
      </c>
      <c r="P32" s="14">
        <f>IF(P$2,_xll.NSGLABAL($F$3,$B32,P$5),_xll.NSGLABUD($F$3,$B$3,$B32,P$5))</f>
        <v>0</v>
      </c>
      <c r="Q32" s="15"/>
      <c r="R32" s="9">
        <f t="shared" si="6"/>
        <v>0</v>
      </c>
    </row>
    <row r="33" spans="2:18" ht="16.899999999999999" customHeight="1" x14ac:dyDescent="0.35">
      <c r="B33" s="6" t="str">
        <f>IF(TRUE,"5100","LI(17,0)")</f>
        <v>5100</v>
      </c>
      <c r="C33" s="10" t="str">
        <f>IF(TRUE,"Mfg WIP","LI(17,1)")</f>
        <v>Mfg WIP</v>
      </c>
      <c r="D33" s="7"/>
      <c r="E33" s="2">
        <f>IF(E$2,_xll.NSGLABAL($F$3,$B33,E$5),_xll.NSGLABUD($F$3,$B$3,$B33,E$5))</f>
        <v>48552.08</v>
      </c>
      <c r="F33" s="8">
        <f>IF(F$2,_xll.NSGLABAL($F$3,$B33,F$5),_xll.NSGLABUD($F$3,$B$3,$B33,F$5))</f>
        <v>-40405.199999999997</v>
      </c>
      <c r="G33" s="8">
        <f>IF(G$2,_xll.NSGLABAL($F$3,$B33,G$5),_xll.NSGLABUD($F$3,$B$3,$B33,G$5))</f>
        <v>0</v>
      </c>
      <c r="H33" s="8">
        <f>IF(H$2,_xll.NSGLABAL($F$3,$B33,H$5),_xll.NSGLABUD($F$3,$B$3,$B33,H$5))</f>
        <v>0</v>
      </c>
      <c r="I33" s="8">
        <f>IF(I$2,_xll.NSGLABAL($F$3,$B33,I$5),_xll.NSGLABUD($F$3,$B$3,$B33,I$5))</f>
        <v>0</v>
      </c>
      <c r="J33" s="8">
        <f>IF(J$2,_xll.NSGLABAL($F$3,$B33,J$5),_xll.NSGLABUD($F$3,$B$3,$B33,J$5))</f>
        <v>0</v>
      </c>
      <c r="K33" s="8">
        <f>IF(K$2,_xll.NSGLABAL($F$3,$B33,K$5),_xll.NSGLABUD($F$3,$B$3,$B33,K$5))</f>
        <v>0</v>
      </c>
      <c r="L33" s="8">
        <f>IF(L$2,_xll.NSGLABAL($F$3,$B33,L$5),_xll.NSGLABUD($F$3,$B$3,$B33,L$5))</f>
        <v>0</v>
      </c>
      <c r="M33" s="8">
        <f>IF(M$2,_xll.NSGLABAL($F$3,$B33,M$5),_xll.NSGLABUD($F$3,$B$3,$B33,M$5))</f>
        <v>-50000</v>
      </c>
      <c r="N33" s="8">
        <f>IF(N$2,_xll.NSGLABAL($F$3,$B33,N$5),_xll.NSGLABUD($F$3,$B$3,$B33,N$5))</f>
        <v>-15000</v>
      </c>
      <c r="O33" s="8">
        <f>IF(O$2,_xll.NSGLABAL($F$3,$B33,O$5),_xll.NSGLABUD($F$3,$B$3,$B33,O$5))</f>
        <v>-15000</v>
      </c>
      <c r="P33" s="14">
        <f>IF(P$2,_xll.NSGLABAL($F$3,$B33,P$5),_xll.NSGLABUD($F$3,$B$3,$B33,P$5))</f>
        <v>-15000</v>
      </c>
      <c r="Q33" s="15"/>
      <c r="R33" s="9">
        <f t="shared" si="6"/>
        <v>-86853.119999999995</v>
      </c>
    </row>
    <row r="34" spans="2:18" ht="16.899999999999999" customHeight="1" x14ac:dyDescent="0.35">
      <c r="B34" s="6" t="str">
        <f>IF(TRUE,"5101","LI(18,0)")</f>
        <v>5101</v>
      </c>
      <c r="C34" s="10" t="str">
        <f>IF(TRUE,"Mfg Scrap","LI(18,1)")</f>
        <v>Mfg Scrap</v>
      </c>
      <c r="D34" s="7"/>
      <c r="E34" s="2">
        <f>IF(E$2,_xll.NSGLABAL($F$3,$B34,E$5),_xll.NSGLABUD($F$3,$B$3,$B34,E$5))</f>
        <v>529.97</v>
      </c>
      <c r="F34" s="8">
        <f>IF(F$2,_xll.NSGLABAL($F$3,$B34,F$5),_xll.NSGLABUD($F$3,$B$3,$B34,F$5))</f>
        <v>901.05</v>
      </c>
      <c r="G34" s="8">
        <f>IF(G$2,_xll.NSGLABAL($F$3,$B34,G$5),_xll.NSGLABUD($F$3,$B$3,$B34,G$5))</f>
        <v>529.97</v>
      </c>
      <c r="H34" s="8">
        <f>IF(H$2,_xll.NSGLABAL($F$3,$B34,H$5),_xll.NSGLABUD($F$3,$B$3,$B34,H$5))</f>
        <v>529.97</v>
      </c>
      <c r="I34" s="8">
        <f>IF(I$2,_xll.NSGLABAL($F$3,$B34,I$5),_xll.NSGLABUD($F$3,$B$3,$B34,I$5))</f>
        <v>529.97</v>
      </c>
      <c r="J34" s="8">
        <f>IF(J$2,_xll.NSGLABAL($F$3,$B34,J$5),_xll.NSGLABUD($F$3,$B$3,$B34,J$5))</f>
        <v>264.99</v>
      </c>
      <c r="K34" s="8">
        <f>IF(K$2,_xll.NSGLABAL($F$3,$B34,K$5),_xll.NSGLABUD($F$3,$B$3,$B34,K$5))</f>
        <v>5264.99</v>
      </c>
      <c r="L34" s="8">
        <f>IF(L$2,_xll.NSGLABAL($F$3,$B34,L$5),_xll.NSGLABUD($F$3,$B$3,$B34,L$5))</f>
        <v>5264.99</v>
      </c>
      <c r="M34" s="8">
        <f>IF(M$2,_xll.NSGLABAL($F$3,$B34,M$5),_xll.NSGLABUD($F$3,$B$3,$B34,M$5))</f>
        <v>5264.99</v>
      </c>
      <c r="N34" s="8">
        <f>IF(N$2,_xll.NSGLABAL($F$3,$B34,N$5),_xll.NSGLABUD($F$3,$B$3,$B34,N$5))</f>
        <v>5264.99</v>
      </c>
      <c r="O34" s="8">
        <f>IF(O$2,_xll.NSGLABAL($F$3,$B34,O$5),_xll.NSGLABUD($F$3,$B$3,$B34,O$5))</f>
        <v>5264.99</v>
      </c>
      <c r="P34" s="14">
        <f>IF(P$2,_xll.NSGLABAL($F$3,$B34,P$5),_xll.NSGLABUD($F$3,$B$3,$B34,P$5))</f>
        <v>5264.99</v>
      </c>
      <c r="Q34" s="15"/>
      <c r="R34" s="9">
        <f t="shared" si="6"/>
        <v>34875.859999999993</v>
      </c>
    </row>
    <row r="35" spans="2:18" ht="16.899999999999999" hidden="1" customHeight="1" x14ac:dyDescent="0.35">
      <c r="B35" s="6" t="str">
        <f>IF(TRUE,"5102","LI(19,0)")</f>
        <v>5102</v>
      </c>
      <c r="C35" s="10" t="str">
        <f>IF(TRUE,"WIP Variance","LI(19,1)")</f>
        <v>WIP Variance</v>
      </c>
      <c r="D35" s="7"/>
      <c r="E35" s="2">
        <f>IF(E$2,_xll.NSGLABAL($F$3,$B35,E$5),_xll.NSGLABUD($F$3,$B$3,$B35,E$5))</f>
        <v>0</v>
      </c>
      <c r="F35" s="8">
        <f>IF(F$2,_xll.NSGLABAL($F$3,$B35,F$5),_xll.NSGLABUD($F$3,$B$3,$B35,F$5))</f>
        <v>3781</v>
      </c>
      <c r="G35" s="8">
        <f>IF(G$2,_xll.NSGLABAL($F$3,$B35,G$5),_xll.NSGLABUD($F$3,$B$3,$B35,G$5))</f>
        <v>0</v>
      </c>
      <c r="H35" s="8">
        <f>IF(H$2,_xll.NSGLABAL($F$3,$B35,H$5),_xll.NSGLABUD($F$3,$B$3,$B35,H$5))</f>
        <v>0</v>
      </c>
      <c r="I35" s="8">
        <f>IF(I$2,_xll.NSGLABAL($F$3,$B35,I$5),_xll.NSGLABUD($F$3,$B$3,$B35,I$5))</f>
        <v>0</v>
      </c>
      <c r="J35" s="8">
        <f>IF(J$2,_xll.NSGLABAL($F$3,$B35,J$5),_xll.NSGLABUD($F$3,$B$3,$B35,J$5))</f>
        <v>0</v>
      </c>
      <c r="K35" s="8">
        <f>IF(K$2,_xll.NSGLABAL($F$3,$B35,K$5),_xll.NSGLABUD($F$3,$B$3,$B35,K$5))</f>
        <v>0</v>
      </c>
      <c r="L35" s="8">
        <f>IF(L$2,_xll.NSGLABAL($F$3,$B35,L$5),_xll.NSGLABUD($F$3,$B$3,$B35,L$5))</f>
        <v>0</v>
      </c>
      <c r="M35" s="8">
        <f>IF(M$2,_xll.NSGLABAL($F$3,$B35,M$5),_xll.NSGLABUD($F$3,$B$3,$B35,M$5))</f>
        <v>0</v>
      </c>
      <c r="N35" s="8">
        <f>IF(N$2,_xll.NSGLABAL($F$3,$B35,N$5),_xll.NSGLABUD($F$3,$B$3,$B35,N$5))</f>
        <v>0</v>
      </c>
      <c r="O35" s="8">
        <f>IF(O$2,_xll.NSGLABAL($F$3,$B35,O$5),_xll.NSGLABUD($F$3,$B$3,$B35,O$5))</f>
        <v>0</v>
      </c>
      <c r="P35" s="14">
        <f>IF(P$2,_xll.NSGLABAL($F$3,$B35,P$5),_xll.NSGLABUD($F$3,$B$3,$B35,P$5))</f>
        <v>0</v>
      </c>
      <c r="Q35" s="15"/>
      <c r="R35" s="9">
        <f t="shared" si="6"/>
        <v>3781</v>
      </c>
    </row>
    <row r="36" spans="2:18" ht="16.899999999999999" hidden="1" customHeight="1" x14ac:dyDescent="0.35">
      <c r="B36" s="39" t="str">
        <f>IF(TRUE,"5200","LI(20,0)")</f>
        <v>5200</v>
      </c>
      <c r="C36" s="40" t="str">
        <f>IF(TRUE,"Vendor Rebates","LI(20,1)")</f>
        <v>Vendor Rebates</v>
      </c>
      <c r="D36" s="7"/>
      <c r="E36" s="44">
        <f>IF(E$2,_xll.NSGLABAL($F$3,$B36,E$5),_xll.NSGLABUD($F$3,$B$3,$B36,E$5))</f>
        <v>0</v>
      </c>
      <c r="F36" s="45">
        <f>IF(F$2,_xll.NSGLABAL($F$3,$B36,F$5),_xll.NSGLABUD($F$3,$B$3,$B36,F$5))</f>
        <v>-15</v>
      </c>
      <c r="G36" s="45">
        <f>IF(G$2,_xll.NSGLABAL($F$3,$B36,G$5),_xll.NSGLABUD($F$3,$B$3,$B36,G$5))</f>
        <v>0</v>
      </c>
      <c r="H36" s="45">
        <f>IF(H$2,_xll.NSGLABAL($F$3,$B36,H$5),_xll.NSGLABUD($F$3,$B$3,$B36,H$5))</f>
        <v>0</v>
      </c>
      <c r="I36" s="45">
        <f>IF(I$2,_xll.NSGLABAL($F$3,$B36,I$5),_xll.NSGLABUD($F$3,$B$3,$B36,I$5))</f>
        <v>0</v>
      </c>
      <c r="J36" s="45">
        <f>IF(J$2,_xll.NSGLABAL($F$3,$B36,J$5),_xll.NSGLABUD($F$3,$B$3,$B36,J$5))</f>
        <v>0</v>
      </c>
      <c r="K36" s="45">
        <f>IF(K$2,_xll.NSGLABAL($F$3,$B36,K$5),_xll.NSGLABUD($F$3,$B$3,$B36,K$5))</f>
        <v>0</v>
      </c>
      <c r="L36" s="45">
        <f>IF(L$2,_xll.NSGLABAL($F$3,$B36,L$5),_xll.NSGLABUD($F$3,$B$3,$B36,L$5))</f>
        <v>0</v>
      </c>
      <c r="M36" s="45">
        <f>IF(M$2,_xll.NSGLABAL($F$3,$B36,M$5),_xll.NSGLABUD($F$3,$B$3,$B36,M$5))</f>
        <v>0</v>
      </c>
      <c r="N36" s="45">
        <f>IF(N$2,_xll.NSGLABAL($F$3,$B36,N$5),_xll.NSGLABUD($F$3,$B$3,$B36,N$5))</f>
        <v>0</v>
      </c>
      <c r="O36" s="45">
        <f>IF(O$2,_xll.NSGLABAL($F$3,$B36,O$5),_xll.NSGLABUD($F$3,$B$3,$B36,O$5))</f>
        <v>0</v>
      </c>
      <c r="P36" s="46">
        <f>IF(P$2,_xll.NSGLABAL($F$3,$B36,P$5),_xll.NSGLABUD($F$3,$B$3,$B36,P$5))</f>
        <v>0</v>
      </c>
      <c r="Q36" s="15"/>
      <c r="R36" s="48">
        <f t="shared" si="6"/>
        <v>-15</v>
      </c>
    </row>
    <row r="37" spans="2:18" s="4" customFormat="1" ht="7.5" customHeight="1" x14ac:dyDescent="0.35">
      <c r="B37" s="56"/>
      <c r="C37" s="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36"/>
      <c r="R37" s="57"/>
    </row>
    <row r="38" spans="2:18" s="49" customFormat="1" ht="19.899999999999999" customHeight="1" x14ac:dyDescent="0.25">
      <c r="B38" s="22"/>
      <c r="C38" s="23" t="s">
        <v>5</v>
      </c>
      <c r="E38" s="24">
        <f>SUBTOTAL(9,E16:E34)</f>
        <v>20449953.059999999</v>
      </c>
      <c r="F38" s="25">
        <f t="shared" ref="F38:P38" si="7">SUBTOTAL(9,F16:F34)</f>
        <v>10335928.300000004</v>
      </c>
      <c r="G38" s="25">
        <f t="shared" si="7"/>
        <v>8238481.2599999988</v>
      </c>
      <c r="H38" s="25">
        <f t="shared" si="7"/>
        <v>7187516.4399999995</v>
      </c>
      <c r="I38" s="25">
        <f t="shared" si="7"/>
        <v>7225040.2199999988</v>
      </c>
      <c r="J38" s="25">
        <f t="shared" si="7"/>
        <v>1379941.37</v>
      </c>
      <c r="K38" s="25">
        <f t="shared" si="7"/>
        <v>326679.81</v>
      </c>
      <c r="L38" s="25">
        <f t="shared" si="7"/>
        <v>325726.71000000002</v>
      </c>
      <c r="M38" s="25">
        <f t="shared" si="7"/>
        <v>1536090.0099999998</v>
      </c>
      <c r="N38" s="25">
        <f t="shared" si="7"/>
        <v>702472.52999999991</v>
      </c>
      <c r="O38" s="25">
        <f t="shared" si="7"/>
        <v>568019.75999999989</v>
      </c>
      <c r="P38" s="26">
        <f t="shared" si="7"/>
        <v>790722.91</v>
      </c>
      <c r="Q38" s="27"/>
      <c r="R38" s="28">
        <f>SUM(E38:P38)</f>
        <v>59066572.379999995</v>
      </c>
    </row>
    <row r="39" spans="2:18" ht="5.25" customHeight="1" x14ac:dyDescent="0.25"/>
    <row r="40" spans="2:18" ht="16.899999999999999" customHeight="1" x14ac:dyDescent="0.25">
      <c r="B40" s="22"/>
      <c r="C40" s="23" t="s">
        <v>7</v>
      </c>
      <c r="D40" s="49"/>
      <c r="E40" s="24">
        <f>E14-E38</f>
        <v>-13627293.189999999</v>
      </c>
      <c r="F40" s="25">
        <f t="shared" ref="F40:P40" si="8">F14-F38</f>
        <v>-2971910.2500000037</v>
      </c>
      <c r="G40" s="25">
        <f t="shared" si="8"/>
        <v>5340760.7800000021</v>
      </c>
      <c r="H40" s="25">
        <f t="shared" si="8"/>
        <v>3391044.8899999987</v>
      </c>
      <c r="I40" s="25">
        <f t="shared" si="8"/>
        <v>2776019.3900000006</v>
      </c>
      <c r="J40" s="25">
        <f t="shared" si="8"/>
        <v>-194521.57000000007</v>
      </c>
      <c r="K40" s="25">
        <f t="shared" si="8"/>
        <v>296795.71000000002</v>
      </c>
      <c r="L40" s="25">
        <f t="shared" si="8"/>
        <v>309706.84000000003</v>
      </c>
      <c r="M40" s="25">
        <f t="shared" si="8"/>
        <v>2436500.65</v>
      </c>
      <c r="N40" s="25">
        <f t="shared" si="8"/>
        <v>943239.41</v>
      </c>
      <c r="O40" s="25">
        <f t="shared" si="8"/>
        <v>750436.99000000011</v>
      </c>
      <c r="P40" s="26">
        <f t="shared" si="8"/>
        <v>804732.60999999975</v>
      </c>
      <c r="Q40" s="27"/>
      <c r="R40" s="28">
        <f>SUM(E40:P40)</f>
        <v>255512.25999999861</v>
      </c>
    </row>
  </sheetData>
  <mergeCells count="4">
    <mergeCell ref="B3:C3"/>
    <mergeCell ref="B4:C4"/>
    <mergeCell ref="F3:N3"/>
    <mergeCell ref="F4:N4"/>
  </mergeCells>
  <conditionalFormatting sqref="E6:P6">
    <cfRule type="expression" dxfId="0" priority="1">
      <formula>(E$2=FALSE)</formula>
    </cfRule>
  </conditionalFormatting>
  <pageMargins left="0.17" right="0.24" top="0.4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FB36F4-E76D-425F-8266-3ADA42622869}"/>
</file>

<file path=customXml/itemProps2.xml><?xml version="1.0" encoding="utf-8"?>
<ds:datastoreItem xmlns:ds="http://schemas.openxmlformats.org/officeDocument/2006/customXml" ds:itemID="{E569C382-CBD1-4BBD-8791-A3381BFFB46E}"/>
</file>

<file path=customXml/itemProps3.xml><?xml version="1.0" encoding="utf-8"?>
<ds:datastoreItem xmlns:ds="http://schemas.openxmlformats.org/officeDocument/2006/customXml" ds:itemID="{5E09808E-7C27-4185-9959-11674C10C5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Miles</dc:creator>
  <cp:lastModifiedBy>Phil Jose</cp:lastModifiedBy>
  <cp:lastPrinted>2016-03-09T17:27:36Z</cp:lastPrinted>
  <dcterms:created xsi:type="dcterms:W3CDTF">2015-04-27T10:30:18Z</dcterms:created>
  <dcterms:modified xsi:type="dcterms:W3CDTF">2017-05-08T13:49:15Z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