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5" rupBuild="179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Users\phil.jose\Documents\SmartView\NetSuite\Demo Spreadsheets\"/>
    </mc:Choice>
  </mc:AlternateContent>
  <bookViews>
    <workbookView xWindow="240" yWindow="75" windowWidth="15600" windowHeight="10545" tabRatio="847"/>
  </bookViews>
  <sheets>
    <sheet name="Income - By Subsidiary" sheetId="15" r:id="rId1"/>
  </sheets>
  <definedNames>
    <definedName name="REP7CR" localSheetId="0" hidden="1">'Income - By Subsidiary'!$E:$M</definedName>
    <definedName name="REP7P01" hidden="1">#REF!</definedName>
    <definedName name="SupressPressed" localSheetId="0" hidden="1">TRUE</definedName>
    <definedName name="SupressPressed" hidden="1">FALSE</definedName>
    <definedName name="VersionNumber" hidden="1">"4.6.5893"</definedName>
    <definedName name="xdif_AutomationMode" hidden="1">"AutomationSheet"</definedName>
    <definedName name="xdif_AutomationRange" hidden="1">#REF!</definedName>
    <definedName name="xdif_AutomationType01" hidden="1">"MultipleSheets"</definedName>
    <definedName name="xdif_RefreshIncludeLists" hidden="1">FALSE</definedName>
    <definedName name="xdif_SheetToAutomate01" hidden="1">#REF!</definedName>
    <definedName name="xdif635519104324149075__dataRowCount" localSheetId="0" hidden="1">180</definedName>
    <definedName name="xdif635519104324149075__userDefinedName" localSheetId="0" hidden="1">"Periods 1"</definedName>
    <definedName name="xdif635519104324149075_AboveLeft" localSheetId="0" hidden="1">TRUE</definedName>
    <definedName name="xdif635519104324149075_AboveLeftCells" localSheetId="0" hidden="1">1</definedName>
    <definedName name="xdif635519104324149075_AutoFilter" localSheetId="0" hidden="1">FALSE</definedName>
    <definedName name="xdif635519104324149075_Autofit" localSheetId="0" hidden="1">TRUE</definedName>
    <definedName name="xdif635519104324149075_BelowRight" localSheetId="0" hidden="1">TRUE</definedName>
    <definedName name="xdif635519104324149075_BelowRightCells" localSheetId="0" hidden="1">1</definedName>
    <definedName name="xdif635519104324149075_DestinationRange" localSheetId="0" hidden="1">'Income - By Subsidiary'!$B$3</definedName>
    <definedName name="xdif635519104324149075_ObjectType" localSheetId="0" hidden="1">"Validation"</definedName>
    <definedName name="xdif635519104324149075_ParameterName00" localSheetId="0" hidden="1">"NSParentPeriod"</definedName>
    <definedName name="xdif635519104324149075_ParameterName01" localSheetId="0" hidden="1">"NSPeriodType"</definedName>
    <definedName name="xdif635519104324149075_RefreshMode" localSheetId="0" hidden="1">"Automatic"</definedName>
    <definedName name="xdif635519104324149075_SelectAliasItem01" localSheetId="0" hidden="1">"Period"</definedName>
    <definedName name="xdif635519104324149075_SelectColumnFormulaItem01" localSheetId="0" hidden="1">"="</definedName>
    <definedName name="xdif635519104324149075_SelectColumnNameItem01" localSheetId="0" hidden="1">"NAME"</definedName>
    <definedName name="xdif635519104324149075_SelectFormatStringItem01" localSheetId="0" hidden="1">"{@}"</definedName>
    <definedName name="xdif635519104324149075_SelectGroupItem01" localSheetId="0" hidden="1">"="</definedName>
    <definedName name="xdif635519104324149075_SelectItemRange01" localSheetId="0" hidden="1">'Income - By Subsidiary'!$B$3</definedName>
    <definedName name="xdif635519104324149075_SelectItemType01" localSheetId="0" hidden="1">"Value"</definedName>
    <definedName name="xdif635519104324149075_SelectPathItem01" localSheetId="0" hidden="1">".ACCOUNTING_PERIODS,Accounting Periods"</definedName>
    <definedName name="xdif635519104324149075_SelectVisibleItem01" localSheetId="0" hidden="1">TRUE</definedName>
    <definedName name="xdif635519104324149075_ShowColumnHeaders" localSheetId="0" hidden="1">FALSE</definedName>
    <definedName name="xdif635519104324149075_SortAliasItem01" localSheetId="0" hidden="1">"Start Date"</definedName>
    <definedName name="xdif635519104324149075_SortColumnNameItem01" localSheetId="0" hidden="1">"STARTING"</definedName>
    <definedName name="xdif635519104324149075_SortOrderByItem01" localSheetId="0" hidden="1">"Asc"</definedName>
    <definedName name="xdif635519104324149075_SortPathItem01" localSheetId="0" hidden="1">".ACCOUNTING_PERIODS,Accounting Periods"</definedName>
    <definedName name="xdif635519104324149075_SourceObject" localSheetId="0" hidden="1">"NSAccountingPeriods"</definedName>
    <definedName name="xdif635519104324149075_UserValue00" localSheetId="0" hidden="1">"="</definedName>
    <definedName name="xdif635519104324149075_UserValue01" localSheetId="0" hidden="1">"="</definedName>
    <definedName name="xdif635519105334540525__dataRowCount" localSheetId="0" hidden="1">27</definedName>
    <definedName name="xdif635519105334540525__userDefinedName" localSheetId="0" hidden="1">"Accounts (by Number) 1"</definedName>
    <definedName name="xdif635519105334540525_AboveLeft" localSheetId="0" hidden="1">TRUE</definedName>
    <definedName name="xdif635519105334540525_AboveLeftCells" localSheetId="0" hidden="1">1</definedName>
    <definedName name="xdif635519105334540525_AutoFilter" localSheetId="0" hidden="1">FALSE</definedName>
    <definedName name="xdif635519105334540525_Autofit" localSheetId="0" hidden="1">TRUE</definedName>
    <definedName name="xdif635519105334540525_BelowRight" localSheetId="0" hidden="1">TRUE</definedName>
    <definedName name="xdif635519105334540525_BelowRightCells" localSheetId="0" hidden="1">1</definedName>
    <definedName name="xdif635519105334540525_DestinationRange" localSheetId="0" hidden="1">'Income - By Subsidiary'!$B$8:$C$37</definedName>
    <definedName name="xdif635519105334540525_DistinctValues" localSheetId="0" hidden="1">FALSE</definedName>
    <definedName name="xdif635519105334540525_ObjectType" localSheetId="0" hidden="1">"ListVertical"</definedName>
    <definedName name="xdif635519105334540525_ParameterName00" localSheetId="0" hidden="1">"NSSubsidiary"</definedName>
    <definedName name="xdif635519105334540525_ParameterName01" localSheetId="0" hidden="1">"NSAccountNumber"</definedName>
    <definedName name="xdif635519105334540525_ParameterName02" localSheetId="0" hidden="1">"NSAccountNumberEx"</definedName>
    <definedName name="xdif635519105334540525_ParameterName03" localSheetId="0" hidden="1">"NSIncludeInactive"</definedName>
    <definedName name="xdif635519105334540525_RefreshMode" localSheetId="0" hidden="1">"Automatic"</definedName>
    <definedName name="xdif635519105334540525_SelectAliasItem01" localSheetId="0" hidden="1">"Account No."</definedName>
    <definedName name="xdif635519105334540525_SelectAliasItem02" localSheetId="0" hidden="1">"Account Name"</definedName>
    <definedName name="xdif635519105334540525_SelectColumnFormulaItem01" localSheetId="0" hidden="1">"="</definedName>
    <definedName name="xdif635519105334540525_SelectColumnFormulaItem02" localSheetId="0" hidden="1">"="</definedName>
    <definedName name="xdif635519105334540525_SelectColumnNameItem01" localSheetId="0" hidden="1">"ACCOUNTNUMBER"</definedName>
    <definedName name="xdif635519105334540525_SelectColumnNameItem02" localSheetId="0" hidden="1">"NAME"</definedName>
    <definedName name="xdif635519105334540525_SelectFormatStringItem01" localSheetId="0" hidden="1">"{@}"</definedName>
    <definedName name="xdif635519105334540525_SelectFormatStringItem02" localSheetId="0" hidden="1">"{}"</definedName>
    <definedName name="xdif635519105334540525_SelectGroupItem01" localSheetId="0" hidden="1">"="</definedName>
    <definedName name="xdif635519105334540525_SelectGroupItem02" localSheetId="0" hidden="1">"="</definedName>
    <definedName name="xdif635519105334540525_SelectItemRange01" localSheetId="0" hidden="1">'Income - By Subsidiary'!$B$8:$B$37</definedName>
    <definedName name="xdif635519105334540525_SelectItemRange02" localSheetId="0" hidden="1">'Income - By Subsidiary'!$C$8:$C$37</definedName>
    <definedName name="xdif635519105334540525_SelectItemType01" localSheetId="0" hidden="1">"Value"</definedName>
    <definedName name="xdif635519105334540525_SelectItemType02" localSheetId="0" hidden="1">"Value"</definedName>
    <definedName name="xdif635519105334540525_SelectPathItem01" localSheetId="0" hidden="1">".ACCOUNTS,Accounts"</definedName>
    <definedName name="xdif635519105334540525_SelectPathItem02" localSheetId="0" hidden="1">".ACCOUNTS,Accounts"</definedName>
    <definedName name="xdif635519105334540525_SelectVisibleItem01" localSheetId="0" hidden="1">TRUE</definedName>
    <definedName name="xdif635519105334540525_SelectVisibleItem02" localSheetId="0" hidden="1">TRUE</definedName>
    <definedName name="xdif635519105334540525_ShowColumnHeaders" localSheetId="0" hidden="1">FALSE</definedName>
    <definedName name="xdif635519105334540525_SortAliasItem01" localSheetId="0" hidden="1">"Account No."</definedName>
    <definedName name="xdif635519105334540525_SortColumnNameItem01" localSheetId="0" hidden="1">"ACCOUNTNUMBER"</definedName>
    <definedName name="xdif635519105334540525_SortOrderByItem01" localSheetId="0" hidden="1">"Asc"</definedName>
    <definedName name="xdif635519105334540525_SortPathItem01" localSheetId="0" hidden="1">".ACCOUNTS,Accounts"</definedName>
    <definedName name="xdif635519105334540525_SourceObject" localSheetId="0" hidden="1">"NSAccountsByNumber"</definedName>
    <definedName name="xdif635519105334540525_UserValue00" localSheetId="0" hidden="1">"HH Inc. (Consolidated)"</definedName>
    <definedName name="xdif635519105334540525_UserValue01" localSheetId="0" hidden="1">{"4*","5*"}</definedName>
    <definedName name="xdif635519105334540525_UserValue02" localSheetId="0" hidden="1">"="</definedName>
    <definedName name="xdif635519105334540525_UserValue03" localSheetId="0" hidden="1">"="</definedName>
    <definedName name="xdifExcludeHiddenBudgetUpload">TRUE</definedName>
    <definedName name="xdifSelectedSheetsBudgetUpload">{"Full Year - Budget"}</definedName>
  </definedNames>
  <calcPr calcId="171027" concurrentManualCount="20"/>
</workbook>
</file>

<file path=xl/calcChain.xml><?xml version="1.0" encoding="utf-8"?>
<calcChain xmlns="http://schemas.openxmlformats.org/spreadsheetml/2006/main">
  <c r="C37" i="15" l="1"/>
  <c r="B37" i="15"/>
  <c r="C36" i="15"/>
  <c r="B36" i="15"/>
  <c r="C35" i="15"/>
  <c r="B35" i="15"/>
  <c r="C34" i="15"/>
  <c r="B34" i="15"/>
  <c r="C33" i="15"/>
  <c r="B33" i="15"/>
  <c r="C32" i="15"/>
  <c r="B32" i="15"/>
  <c r="C31" i="15"/>
  <c r="B31" i="15"/>
  <c r="C30" i="15"/>
  <c r="B30" i="15"/>
  <c r="C29" i="15"/>
  <c r="B29" i="15"/>
  <c r="C28" i="15"/>
  <c r="B28" i="15"/>
  <c r="C27" i="15"/>
  <c r="B27" i="15"/>
  <c r="C26" i="15"/>
  <c r="B26" i="15"/>
  <c r="C25" i="15"/>
  <c r="B25" i="15"/>
  <c r="C24" i="15"/>
  <c r="B24" i="15"/>
  <c r="C23" i="15"/>
  <c r="B23" i="15"/>
  <c r="C22" i="15"/>
  <c r="B22" i="15"/>
  <c r="C21" i="15"/>
  <c r="B21" i="15"/>
  <c r="C20" i="15"/>
  <c r="B20" i="15"/>
  <c r="C19" i="15"/>
  <c r="B19" i="15"/>
  <c r="C18" i="15"/>
  <c r="B18" i="15"/>
  <c r="C17" i="15"/>
  <c r="B17" i="15"/>
  <c r="C13" i="15"/>
  <c r="B13" i="15"/>
  <c r="C12" i="15"/>
  <c r="B12" i="15"/>
  <c r="C11" i="15"/>
  <c r="B11" i="15"/>
  <c r="C10" i="15"/>
  <c r="B10" i="15"/>
  <c r="C9" i="15"/>
  <c r="B9" i="15"/>
  <c r="C8" i="15"/>
  <c r="B8" i="15"/>
  <c r="G34" i="15"/>
  <c r="G29" i="15"/>
  <c r="G24" i="15"/>
  <c r="G19" i="15"/>
  <c r="J9" i="15"/>
  <c r="K13" i="15"/>
  <c r="G18" i="15"/>
  <c r="K35" i="15"/>
  <c r="H13" i="15"/>
  <c r="K10" i="15"/>
  <c r="G20" i="15"/>
  <c r="K32" i="15"/>
  <c r="H37" i="15"/>
  <c r="G37" i="15"/>
  <c r="E27" i="15"/>
  <c r="H12" i="15"/>
  <c r="J29" i="15"/>
  <c r="J19" i="15"/>
  <c r="K36" i="15"/>
  <c r="E34" i="15"/>
  <c r="K31" i="15"/>
  <c r="E29" i="15"/>
  <c r="K26" i="15"/>
  <c r="E24" i="15"/>
  <c r="K21" i="15"/>
  <c r="E19" i="15"/>
  <c r="H9" i="15"/>
  <c r="G9" i="15"/>
  <c r="H28" i="15"/>
  <c r="E11" i="15"/>
  <c r="G33" i="15"/>
  <c r="E18" i="15"/>
  <c r="H30" i="15"/>
  <c r="E8" i="15"/>
  <c r="K27" i="15"/>
  <c r="J37" i="15"/>
  <c r="H22" i="15"/>
  <c r="E10" i="15"/>
  <c r="G17" i="15"/>
  <c r="K29" i="15"/>
  <c r="H19" i="15"/>
  <c r="J36" i="15"/>
  <c r="J31" i="15"/>
  <c r="J26" i="15"/>
  <c r="J21" i="15"/>
  <c r="H18" i="15"/>
  <c r="G23" i="15"/>
  <c r="E28" i="15"/>
  <c r="H8" i="15"/>
  <c r="H25" i="15"/>
  <c r="E25" i="15"/>
  <c r="H10" i="15"/>
  <c r="H32" i="15"/>
  <c r="J12" i="15"/>
  <c r="K24" i="15"/>
  <c r="J34" i="15"/>
  <c r="H36" i="15"/>
  <c r="H31" i="15"/>
  <c r="H26" i="15"/>
  <c r="H21" i="15"/>
  <c r="K11" i="15"/>
  <c r="E9" i="15"/>
  <c r="H33" i="15"/>
  <c r="K8" i="15"/>
  <c r="J8" i="15"/>
  <c r="K25" i="15"/>
  <c r="J30" i="15"/>
  <c r="G13" i="15"/>
  <c r="H35" i="15"/>
  <c r="G25" i="15"/>
  <c r="K37" i="15"/>
  <c r="J27" i="15"/>
  <c r="G10" i="15"/>
  <c r="H27" i="15"/>
  <c r="K12" i="15"/>
  <c r="G22" i="15"/>
  <c r="K34" i="15"/>
  <c r="H34" i="15"/>
  <c r="G36" i="15"/>
  <c r="G31" i="15"/>
  <c r="G26" i="15"/>
  <c r="G21" i="15"/>
  <c r="J11" i="15"/>
  <c r="K30" i="15"/>
  <c r="J25" i="15"/>
  <c r="G35" i="15"/>
  <c r="E35" i="15"/>
  <c r="K17" i="15"/>
  <c r="J22" i="15"/>
  <c r="G27" i="15"/>
  <c r="E22" i="15"/>
  <c r="H24" i="15"/>
  <c r="E36" i="15"/>
  <c r="K33" i="15"/>
  <c r="E31" i="15"/>
  <c r="K28" i="15"/>
  <c r="E26" i="15"/>
  <c r="K23" i="15"/>
  <c r="E21" i="15"/>
  <c r="K18" i="15"/>
  <c r="H11" i="15"/>
  <c r="H23" i="15"/>
  <c r="J13" i="15"/>
  <c r="K20" i="15"/>
  <c r="G8" i="15"/>
  <c r="H20" i="15"/>
  <c r="E30" i="15"/>
  <c r="E20" i="15"/>
  <c r="G32" i="15"/>
  <c r="E32" i="15"/>
  <c r="E17" i="15"/>
  <c r="E12" i="15"/>
  <c r="J33" i="15"/>
  <c r="J28" i="15"/>
  <c r="J23" i="15"/>
  <c r="J18" i="15"/>
  <c r="G11" i="15"/>
  <c r="G28" i="15"/>
  <c r="E33" i="15"/>
  <c r="E23" i="15"/>
  <c r="J35" i="15"/>
  <c r="J20" i="15"/>
  <c r="E13" i="15"/>
  <c r="G30" i="15"/>
  <c r="J10" i="15"/>
  <c r="K22" i="15"/>
  <c r="J32" i="15"/>
  <c r="J17" i="15"/>
  <c r="H17" i="15"/>
  <c r="E37" i="15"/>
  <c r="K19" i="15"/>
  <c r="J24" i="15"/>
  <c r="G12" i="15"/>
  <c r="H29" i="15"/>
  <c r="K9" i="15"/>
  <c r="M37" i="15" l="1"/>
  <c r="H39" i="15"/>
  <c r="J39" i="15"/>
  <c r="J41" i="15" s="1"/>
  <c r="M13" i="15"/>
  <c r="M23" i="15"/>
  <c r="M33" i="15"/>
  <c r="M12" i="15"/>
  <c r="E39" i="15"/>
  <c r="M17" i="15"/>
  <c r="M32" i="15"/>
  <c r="M20" i="15"/>
  <c r="M30" i="15"/>
  <c r="G15" i="15"/>
  <c r="G41" i="15" s="1"/>
  <c r="M21" i="15"/>
  <c r="M26" i="15"/>
  <c r="M31" i="15"/>
  <c r="M36" i="15"/>
  <c r="M22" i="15"/>
  <c r="K39" i="15"/>
  <c r="K41" i="15" s="1"/>
  <c r="M35" i="15"/>
  <c r="J15" i="15"/>
  <c r="K15" i="15"/>
  <c r="M9" i="15"/>
  <c r="M25" i="15"/>
  <c r="H15" i="15"/>
  <c r="H41" i="15" s="1"/>
  <c r="M28" i="15"/>
  <c r="G39" i="15"/>
  <c r="M10" i="15"/>
  <c r="E15" i="15"/>
  <c r="E41" i="15" s="1"/>
  <c r="M8" i="15"/>
  <c r="M18" i="15"/>
  <c r="M11" i="15"/>
  <c r="M19" i="15"/>
  <c r="M24" i="15"/>
  <c r="M29" i="15"/>
  <c r="M34" i="15"/>
  <c r="M27" i="15"/>
  <c r="M39" i="15" l="1"/>
  <c r="M15" i="15"/>
  <c r="M41" i="15" l="1"/>
</calcChain>
</file>

<file path=xl/sharedStrings.xml><?xml version="1.0" encoding="utf-8"?>
<sst xmlns="http://schemas.openxmlformats.org/spreadsheetml/2006/main" count="20" uniqueCount="16">
  <si>
    <t>HH Inc. : Honeycomb USA</t>
  </si>
  <si>
    <t>USD</t>
  </si>
  <si>
    <t>MXN</t>
  </si>
  <si>
    <t>HH Inc. : Honeycomb Mexico</t>
  </si>
  <si>
    <t>HH Inc. : Honeycomb Europe</t>
  </si>
  <si>
    <t>Group Income</t>
  </si>
  <si>
    <t>Honeycomb Inc. - Group Income</t>
  </si>
  <si>
    <t>EURO</t>
  </si>
  <si>
    <t>Honeycomb Inc.</t>
  </si>
  <si>
    <t>Honeycomb (Mexico)</t>
  </si>
  <si>
    <t>Honeycomb GmbH (Europe)</t>
  </si>
  <si>
    <t>Gross Margin</t>
  </si>
  <si>
    <t>Income</t>
  </si>
  <si>
    <t>Cost of Sales</t>
  </si>
  <si>
    <t>Account</t>
  </si>
  <si>
    <t>Apr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</si>
</sst>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* #,##0.00_);_(* \(#,##0.00\);_(* &quot;-&quot;??_);_(@_)"/>
    <numFmt numFmtId="165" formatCode="_(* #,##0_);_(* \(#,##0\);_(* &quot;-&quot;??_);_(@_)"/>
  </numFmts>
  <fonts count="8" x14ac:knownFonts="1">
    <font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 tint="-4.9989318521683403E-2"/>
      <name val="Calibri"/>
      <family val="2"/>
      <scheme val="minor"/>
    </font>
    <font>
      <sz val="1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722A2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63">
    <xf numFmtId="0" fontId="0" fillId="0" borderId="0" xfId="0"/>
    <xf numFmtId="0" fontId="0" fillId="0" borderId="0" xfId="0" applyAlignment="1">
      <alignment horizontal="center"/>
    </xf>
    <xf numFmtId="0" fontId="0" fillId="0" borderId="5" xfId="0" applyNumberFormat="1" applyBorder="1" applyAlignment="1">
      <alignment horizontal="left"/>
    </xf>
    <xf numFmtId="0" fontId="0" fillId="0" borderId="6" xfId="0" applyBorder="1" applyAlignment="1"/>
    <xf numFmtId="165" fontId="0" fillId="0" borderId="5" xfId="1" applyNumberFormat="1" applyFont="1" applyBorder="1" applyAlignment="1">
      <alignment horizontal="right"/>
    </xf>
    <xf numFmtId="165" fontId="0" fillId="0" borderId="6" xfId="1" applyNumberFormat="1" applyFont="1" applyBorder="1" applyAlignment="1">
      <alignment horizontal="right"/>
    </xf>
    <xf numFmtId="165" fontId="0" fillId="0" borderId="1" xfId="0" applyNumberFormat="1" applyBorder="1" applyAlignment="1">
      <alignment horizontal="right"/>
    </xf>
    <xf numFmtId="165" fontId="0" fillId="0" borderId="1" xfId="1" applyNumberFormat="1" applyFont="1" applyBorder="1" applyAlignment="1">
      <alignment horizontal="right"/>
    </xf>
    <xf numFmtId="0" fontId="0" fillId="2" borderId="0" xfId="0" applyFill="1"/>
    <xf numFmtId="0" fontId="3" fillId="2" borderId="0" xfId="0" applyFont="1" applyFill="1" applyAlignment="1">
      <alignment horizontal="center"/>
    </xf>
    <xf numFmtId="165" fontId="0" fillId="2" borderId="0" xfId="1" applyNumberFormat="1" applyFont="1" applyFill="1" applyBorder="1" applyAlignment="1">
      <alignment horizontal="right"/>
    </xf>
    <xf numFmtId="0" fontId="1" fillId="2" borderId="0" xfId="0" applyFont="1" applyFill="1" applyAlignment="1">
      <alignment horizontal="left" indent="2"/>
    </xf>
    <xf numFmtId="0" fontId="0" fillId="0" borderId="0" xfId="0" applyFill="1" applyBorder="1"/>
    <xf numFmtId="49" fontId="5" fillId="0" borderId="0" xfId="0" applyNumberFormat="1" applyFont="1" applyFill="1" applyBorder="1"/>
    <xf numFmtId="0" fontId="2" fillId="0" borderId="0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0" fillId="0" borderId="0" xfId="0" applyFill="1" applyBorder="1" applyAlignment="1"/>
    <xf numFmtId="0" fontId="0" fillId="2" borderId="0" xfId="0" applyFill="1" applyBorder="1" applyAlignment="1">
      <alignment horizontal="right"/>
    </xf>
    <xf numFmtId="0" fontId="3" fillId="2" borderId="0" xfId="0" applyFont="1" applyFill="1" applyBorder="1" applyAlignment="1">
      <alignment horizontal="center"/>
    </xf>
    <xf numFmtId="0" fontId="0" fillId="3" borderId="3" xfId="0" applyFill="1" applyBorder="1"/>
    <xf numFmtId="0" fontId="3" fillId="3" borderId="2" xfId="0" applyFont="1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>
      <alignment horizontal="right"/>
    </xf>
    <xf numFmtId="0" fontId="0" fillId="0" borderId="0" xfId="0" applyNumberFormat="1" applyBorder="1" applyAlignment="1">
      <alignment horizontal="left"/>
    </xf>
    <xf numFmtId="0" fontId="0" fillId="0" borderId="0" xfId="0" applyBorder="1" applyAlignment="1"/>
    <xf numFmtId="165" fontId="0" fillId="0" borderId="0" xfId="1" applyNumberFormat="1" applyFont="1" applyBorder="1" applyAlignment="1">
      <alignment horizontal="right"/>
    </xf>
    <xf numFmtId="165" fontId="0" fillId="0" borderId="0" xfId="0" applyNumberFormat="1" applyBorder="1" applyAlignment="1">
      <alignment horizontal="right"/>
    </xf>
    <xf numFmtId="0" fontId="6" fillId="3" borderId="8" xfId="0" applyFont="1" applyFill="1" applyBorder="1" applyAlignment="1">
      <alignment horizontal="left"/>
    </xf>
    <xf numFmtId="0" fontId="3" fillId="3" borderId="7" xfId="0" applyFont="1" applyFill="1" applyBorder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0" fontId="0" fillId="0" borderId="3" xfId="0" applyNumberFormat="1" applyBorder="1" applyAlignment="1">
      <alignment horizontal="left"/>
    </xf>
    <xf numFmtId="0" fontId="0" fillId="0" borderId="4" xfId="0" applyBorder="1" applyAlignment="1"/>
    <xf numFmtId="0" fontId="0" fillId="0" borderId="8" xfId="0" applyNumberFormat="1" applyBorder="1" applyAlignment="1">
      <alignment horizontal="left"/>
    </xf>
    <xf numFmtId="0" fontId="0" fillId="0" borderId="9" xfId="0" applyBorder="1" applyAlignment="1"/>
    <xf numFmtId="165" fontId="0" fillId="0" borderId="2" xfId="1" applyNumberFormat="1" applyFont="1" applyBorder="1" applyAlignment="1">
      <alignment horizontal="right"/>
    </xf>
    <xf numFmtId="165" fontId="0" fillId="0" borderId="7" xfId="1" applyNumberFormat="1" applyFont="1" applyBorder="1" applyAlignment="1">
      <alignment horizontal="right"/>
    </xf>
    <xf numFmtId="165" fontId="0" fillId="0" borderId="3" xfId="1" applyNumberFormat="1" applyFont="1" applyBorder="1" applyAlignment="1">
      <alignment horizontal="right"/>
    </xf>
    <xf numFmtId="165" fontId="0" fillId="0" borderId="4" xfId="1" applyNumberFormat="1" applyFont="1" applyBorder="1" applyAlignment="1">
      <alignment horizontal="right"/>
    </xf>
    <xf numFmtId="165" fontId="0" fillId="0" borderId="8" xfId="1" applyNumberFormat="1" applyFont="1" applyBorder="1" applyAlignment="1">
      <alignment horizontal="right"/>
    </xf>
    <xf numFmtId="165" fontId="0" fillId="0" borderId="9" xfId="1" applyNumberFormat="1" applyFont="1" applyBorder="1" applyAlignment="1">
      <alignment horizontal="right"/>
    </xf>
    <xf numFmtId="165" fontId="0" fillId="0" borderId="2" xfId="0" applyNumberFormat="1" applyBorder="1" applyAlignment="1">
      <alignment horizontal="right"/>
    </xf>
    <xf numFmtId="165" fontId="0" fillId="0" borderId="7" xfId="0" applyNumberFormat="1" applyBorder="1" applyAlignment="1">
      <alignment horizontal="right"/>
    </xf>
    <xf numFmtId="0" fontId="0" fillId="0" borderId="0" xfId="0" applyFill="1" applyBorder="1" applyAlignment="1">
      <alignment vertical="center"/>
    </xf>
    <xf numFmtId="165" fontId="0" fillId="2" borderId="0" xfId="1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0" fontId="0" fillId="3" borderId="11" xfId="0" applyNumberFormat="1" applyFill="1" applyBorder="1" applyAlignment="1">
      <alignment horizontal="left" vertical="center"/>
    </xf>
    <xf numFmtId="0" fontId="3" fillId="3" borderId="12" xfId="0" applyFont="1" applyFill="1" applyBorder="1" applyAlignment="1">
      <alignment vertical="center"/>
    </xf>
    <xf numFmtId="165" fontId="3" fillId="3" borderId="10" xfId="1" applyNumberFormat="1" applyFont="1" applyFill="1" applyBorder="1" applyAlignment="1">
      <alignment horizontal="right" vertical="center"/>
    </xf>
    <xf numFmtId="165" fontId="3" fillId="3" borderId="11" xfId="1" applyNumberFormat="1" applyFont="1" applyFill="1" applyBorder="1" applyAlignment="1">
      <alignment horizontal="right" vertical="center"/>
    </xf>
    <xf numFmtId="165" fontId="3" fillId="3" borderId="12" xfId="1" applyNumberFormat="1" applyFont="1" applyFill="1" applyBorder="1" applyAlignment="1">
      <alignment horizontal="right" vertical="center"/>
    </xf>
    <xf numFmtId="0" fontId="0" fillId="0" borderId="13" xfId="0" applyNumberFormat="1" applyBorder="1" applyAlignment="1">
      <alignment horizontal="left"/>
    </xf>
    <xf numFmtId="0" fontId="0" fillId="0" borderId="13" xfId="0" applyBorder="1" applyAlignment="1"/>
    <xf numFmtId="0" fontId="0" fillId="0" borderId="0" xfId="0" applyAlignment="1">
      <alignment wrapText="1"/>
    </xf>
    <xf numFmtId="0" fontId="0" fillId="0" borderId="0" xfId="0" applyFill="1" applyBorder="1" applyAlignment="1">
      <alignment wrapText="1"/>
    </xf>
    <xf numFmtId="0" fontId="0" fillId="2" borderId="0" xfId="0" applyFill="1" applyAlignment="1">
      <alignment wrapText="1"/>
    </xf>
    <xf numFmtId="49" fontId="7" fillId="0" borderId="0" xfId="0" quotePrefix="1" applyNumberFormat="1" applyFont="1" applyAlignment="1">
      <alignment horizontal="left"/>
    </xf>
    <xf numFmtId="49" fontId="5" fillId="0" borderId="0" xfId="0" applyNumberFormat="1" applyFont="1" applyAlignment="1">
      <alignment horizontal="left"/>
    </xf>
    <xf numFmtId="0" fontId="1" fillId="0" borderId="0" xfId="0" applyFont="1" applyAlignment="1">
      <alignment horizontal="left" indent="2"/>
    </xf>
    <xf numFmtId="0" fontId="3" fillId="3" borderId="3" xfId="0" applyFont="1" applyFill="1" applyBorder="1" applyAlignment="1">
      <alignment horizontal="center"/>
    </xf>
    <xf numFmtId="0" fontId="3" fillId="3" borderId="4" xfId="0" applyFont="1" applyFill="1" applyBorder="1" applyAlignment="1">
      <alignment horizontal="center"/>
    </xf>
    <xf numFmtId="0" fontId="6" fillId="3" borderId="4" xfId="0" applyFont="1" applyFill="1" applyBorder="1" applyAlignment="1">
      <alignment horizontal="left" vertical="center"/>
    </xf>
    <xf numFmtId="0" fontId="6" fillId="3" borderId="9" xfId="0" applyFont="1" applyFill="1" applyBorder="1" applyAlignment="1">
      <alignment horizontal="left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mruColors>
      <color rgb="FF722A2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781050</xdr:colOff>
      <xdr:row>1</xdr:row>
      <xdr:rowOff>161925</xdr:rowOff>
    </xdr:from>
    <xdr:to>
      <xdr:col>12</xdr:col>
      <xdr:colOff>915802</xdr:colOff>
      <xdr:row>3</xdr:row>
      <xdr:rowOff>89577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9E3F723-3853-4AD5-ABC2-B6F1BDF7DE4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753350" y="161925"/>
          <a:ext cx="1163452" cy="43247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41"/>
  <sheetViews>
    <sheetView showGridLines="0" tabSelected="1" topLeftCell="A2" zoomScale="140" zoomScaleNormal="140" workbookViewId="0">
      <selection activeCell="B3" sqref="B3:C3"/>
    </sheetView>
  </sheetViews>
  <sheetFormatPr defaultColWidth="9.140625" defaultRowHeight="15" x14ac:dyDescent="0.25"/>
  <cols>
    <col min="1" max="1" width="4.85546875" customWidth="1"/>
    <col min="2" max="2" width="7" customWidth="1"/>
    <col min="3" max="3" width="30.5703125" customWidth="1"/>
    <col min="4" max="4" width="1.28515625" style="12" customWidth="1"/>
    <col min="5" max="5" width="15.85546875" customWidth="1"/>
    <col min="6" max="6" width="1.28515625" style="8" customWidth="1"/>
    <col min="7" max="8" width="14.140625" customWidth="1"/>
    <col min="9" max="9" width="1.28515625" style="8" customWidth="1"/>
    <col min="10" max="11" width="14.140625" customWidth="1"/>
    <col min="12" max="12" width="1.28515625" style="8" customWidth="1"/>
    <col min="13" max="13" width="14.140625" customWidth="1"/>
    <col min="14" max="14" width="9.140625" customWidth="1"/>
  </cols>
  <sheetData>
    <row r="1" spans="2:13" s="53" customFormat="1" ht="45" hidden="1" x14ac:dyDescent="0.25">
      <c r="D1" s="54"/>
      <c r="E1" s="53" t="s">
        <v>0</v>
      </c>
      <c r="F1" s="55"/>
      <c r="G1" s="53" t="s">
        <v>3</v>
      </c>
      <c r="I1" s="55"/>
      <c r="J1" s="53" t="s">
        <v>4</v>
      </c>
      <c r="L1" s="55"/>
      <c r="M1" s="53" t="s">
        <v>5</v>
      </c>
    </row>
    <row r="2" spans="2:13" ht="13.5" customHeight="1" x14ac:dyDescent="0.25"/>
    <row r="3" spans="2:13" ht="26.25" x14ac:dyDescent="0.4">
      <c r="B3" s="56" t="s">
        <v>15</v>
      </c>
      <c r="C3" s="57"/>
      <c r="D3" s="13"/>
      <c r="E3" s="58" t="s">
        <v>6</v>
      </c>
      <c r="F3" s="58"/>
      <c r="G3" s="58"/>
      <c r="H3" s="58"/>
      <c r="I3" s="58"/>
      <c r="J3" s="58"/>
      <c r="K3" s="58"/>
      <c r="L3" s="11"/>
    </row>
    <row r="4" spans="2:13" ht="15.75" customHeight="1" x14ac:dyDescent="0.25"/>
    <row r="5" spans="2:13" x14ac:dyDescent="0.25">
      <c r="B5" s="19"/>
      <c r="C5" s="61" t="s">
        <v>14</v>
      </c>
      <c r="E5" s="20" t="s">
        <v>8</v>
      </c>
      <c r="F5" s="9"/>
      <c r="G5" s="59" t="s">
        <v>9</v>
      </c>
      <c r="H5" s="60"/>
      <c r="I5" s="9"/>
      <c r="J5" s="59" t="s">
        <v>10</v>
      </c>
      <c r="K5" s="60"/>
      <c r="L5" s="9"/>
      <c r="M5" s="20" t="s">
        <v>5</v>
      </c>
    </row>
    <row r="6" spans="2:13" s="1" customFormat="1" x14ac:dyDescent="0.25">
      <c r="B6" s="27"/>
      <c r="C6" s="62"/>
      <c r="D6" s="14"/>
      <c r="E6" s="28" t="s">
        <v>1</v>
      </c>
      <c r="F6" s="18"/>
      <c r="G6" s="29" t="s">
        <v>2</v>
      </c>
      <c r="H6" s="30" t="s">
        <v>1</v>
      </c>
      <c r="I6" s="18"/>
      <c r="J6" s="29" t="s">
        <v>7</v>
      </c>
      <c r="K6" s="30" t="s">
        <v>1</v>
      </c>
      <c r="L6" s="18"/>
      <c r="M6" s="28" t="s">
        <v>1</v>
      </c>
    </row>
    <row r="7" spans="2:13" s="1" customFormat="1" ht="6.4" customHeight="1" x14ac:dyDescent="0.25">
      <c r="B7" s="21"/>
      <c r="C7" s="21"/>
      <c r="D7" s="15"/>
      <c r="E7" s="22"/>
      <c r="F7" s="17"/>
      <c r="G7" s="22"/>
      <c r="H7" s="22"/>
      <c r="I7" s="17"/>
      <c r="J7" s="22"/>
      <c r="K7" s="22"/>
      <c r="L7" s="17"/>
      <c r="M7" s="22"/>
    </row>
    <row r="8" spans="2:13" x14ac:dyDescent="0.25">
      <c r="B8" s="31" t="str">
        <f>IF(TRUE,"4000","LI(0,0)")</f>
        <v>4000</v>
      </c>
      <c r="C8" s="32" t="str">
        <f>IF(TRUE,"Sales","LI(0,1)")</f>
        <v>Sales</v>
      </c>
      <c r="D8" s="16"/>
      <c r="E8" s="35">
        <f>-_xll.NSGLABAL($E$1,$B8,$B$3)</f>
        <v>7187018.4500000002</v>
      </c>
      <c r="F8" s="10"/>
      <c r="G8" s="37">
        <f>-_xll.NSGLABAL($G$1,$B8,$B$3)</f>
        <v>682735.5</v>
      </c>
      <c r="H8" s="38">
        <f>-_xll.NSGLABAL($G$1,$B8,$B$3,,,,,"HH Inc.")</f>
        <v>36183.040000000001</v>
      </c>
      <c r="I8" s="10"/>
      <c r="J8" s="37">
        <f>-_xll.NSGLABAL($J$1,$B8,$B$3)</f>
        <v>704542</v>
      </c>
      <c r="K8" s="38">
        <f>-_xll.NSGLABAL($J$1,$B8,$B$3,,,,,"HH Inc.")</f>
        <v>1039093.77</v>
      </c>
      <c r="L8" s="10"/>
      <c r="M8" s="41">
        <f t="shared" ref="M8:M37" si="0">E8+H8+K8</f>
        <v>8262295.2599999998</v>
      </c>
    </row>
    <row r="9" spans="2:13" x14ac:dyDescent="0.25">
      <c r="B9" s="2" t="str">
        <f>IF(TRUE,"4002","LI(1,0)")</f>
        <v>4002</v>
      </c>
      <c r="C9" s="3" t="str">
        <f>IF(TRUE,"Sales - Merchandise","LI(1,1)")</f>
        <v>Sales - Merchandise</v>
      </c>
      <c r="D9" s="16"/>
      <c r="E9" s="7">
        <f>-_xll.NSGLABAL($E$1,$B9,$B$3)</f>
        <v>1611</v>
      </c>
      <c r="F9" s="10"/>
      <c r="G9" s="4">
        <f>-_xll.NSGLABAL($G$1,$B9,$B$3)</f>
        <v>227578.5</v>
      </c>
      <c r="H9" s="5">
        <f>-_xll.NSGLABAL($G$1,$B9,$B$3,,,,,"HH Inc.")</f>
        <v>12061.01</v>
      </c>
      <c r="I9" s="10"/>
      <c r="J9" s="4">
        <f>-_xll.NSGLABAL($J$1,$B9,$B$3)</f>
        <v>0</v>
      </c>
      <c r="K9" s="5">
        <f>-_xll.NSGLABAL($J$1,$B9,$B$3,,,,,"HH Inc.")</f>
        <v>0</v>
      </c>
      <c r="L9" s="10"/>
      <c r="M9" s="6">
        <f t="shared" si="0"/>
        <v>13672.01</v>
      </c>
    </row>
    <row r="10" spans="2:13" x14ac:dyDescent="0.25">
      <c r="B10" s="2" t="str">
        <f>IF(TRUE,"4004","LI(2,0)")</f>
        <v>4004</v>
      </c>
      <c r="C10" s="3" t="str">
        <f>IF(TRUE,"Sales - Service","LI(2,1)")</f>
        <v>Sales - Service</v>
      </c>
      <c r="D10" s="16"/>
      <c r="E10" s="7">
        <f>-_xll.NSGLABAL($E$1,$B10,$B$3)</f>
        <v>270</v>
      </c>
      <c r="F10" s="10"/>
      <c r="G10" s="4">
        <f>-_xll.NSGLABAL($G$1,$B10,$B$3)</f>
        <v>170683.9</v>
      </c>
      <c r="H10" s="5">
        <f>-_xll.NSGLABAL($G$1,$B10,$B$3,,,,,"HH Inc.")</f>
        <v>9045.76</v>
      </c>
      <c r="I10" s="10"/>
      <c r="J10" s="4">
        <f>-_xll.NSGLABAL($J$1,$B10,$B$3)</f>
        <v>185023</v>
      </c>
      <c r="K10" s="5">
        <f>-_xll.NSGLABAL($J$1,$B10,$B$3,,,,,"HH Inc.")</f>
        <v>272881.17</v>
      </c>
      <c r="L10" s="10"/>
      <c r="M10" s="6">
        <f t="shared" si="0"/>
        <v>282196.93</v>
      </c>
    </row>
    <row r="11" spans="2:13" x14ac:dyDescent="0.25">
      <c r="B11" s="2" t="str">
        <f>IF(TRUE,"4006","LI(3,0)")</f>
        <v>4006</v>
      </c>
      <c r="C11" s="3" t="str">
        <f>IF(TRUE,"Sales - Clearance","LI(3,1)")</f>
        <v>Sales - Clearance</v>
      </c>
      <c r="D11" s="16"/>
      <c r="E11" s="7">
        <f>-_xll.NSGLABAL($E$1,$B11,$B$3)</f>
        <v>9357.2000000000007</v>
      </c>
      <c r="F11" s="10"/>
      <c r="G11" s="4">
        <f>-_xll.NSGLABAL($G$1,$B11,$B$3)</f>
        <v>0</v>
      </c>
      <c r="H11" s="5">
        <f>-_xll.NSGLABAL($G$1,$B11,$B$3,,,,,"HH Inc.")</f>
        <v>0</v>
      </c>
      <c r="I11" s="10"/>
      <c r="J11" s="4">
        <f>-_xll.NSGLABAL($J$1,$B11,$B$3)</f>
        <v>0</v>
      </c>
      <c r="K11" s="5">
        <f>-_xll.NSGLABAL($J$1,$B11,$B$3,,,,,"HH Inc.")</f>
        <v>0</v>
      </c>
      <c r="L11" s="10"/>
      <c r="M11" s="6">
        <f t="shared" si="0"/>
        <v>9357.2000000000007</v>
      </c>
    </row>
    <row r="12" spans="2:13" x14ac:dyDescent="0.25">
      <c r="B12" s="2" t="str">
        <f>IF(TRUE,"4008","LI(4,0)")</f>
        <v>4008</v>
      </c>
      <c r="C12" s="3" t="str">
        <f>IF(TRUE,"Sales - Warranty","LI(4,1)")</f>
        <v>Sales - Warranty</v>
      </c>
      <c r="D12" s="16"/>
      <c r="E12" s="7">
        <f>-_xll.NSGLABAL($E$1,$B12,$B$3)</f>
        <v>1852377.9</v>
      </c>
      <c r="F12" s="10"/>
      <c r="G12" s="4">
        <f>-_xll.NSGLABAL($G$1,$B12,$B$3)</f>
        <v>52794.6</v>
      </c>
      <c r="H12" s="5">
        <f>-_xll.NSGLABAL($G$1,$B12,$B$3,,,,,"HH Inc.")</f>
        <v>2797.96</v>
      </c>
      <c r="I12" s="10"/>
      <c r="J12" s="4">
        <f>-_xll.NSGLABAL($J$1,$B12,$B$3)</f>
        <v>105681.3</v>
      </c>
      <c r="K12" s="5">
        <f>-_xll.NSGLABAL($J$1,$B12,$B$3,,,,,"HH Inc.")</f>
        <v>155864.07</v>
      </c>
      <c r="L12" s="10"/>
      <c r="M12" s="6">
        <f t="shared" si="0"/>
        <v>2011039.93</v>
      </c>
    </row>
    <row r="13" spans="2:13" hidden="1" x14ac:dyDescent="0.25">
      <c r="B13" s="33" t="str">
        <f>IF(TRUE,"4100","LI(5,0)")</f>
        <v>4100</v>
      </c>
      <c r="C13" s="34" t="str">
        <f>IF(TRUE,"WIP eRev","LI(5,1)")</f>
        <v>WIP eRev</v>
      </c>
      <c r="D13" s="16"/>
      <c r="E13" s="36">
        <f>-_xll.NSGLABAL($E$1,$B13,$B$3)</f>
        <v>0</v>
      </c>
      <c r="F13" s="10"/>
      <c r="G13" s="39">
        <f>-_xll.NSGLABAL($G$1,$B13,$B$3)</f>
        <v>0</v>
      </c>
      <c r="H13" s="40">
        <f>-_xll.NSGLABAL($G$1,$B13,$B$3,,,,,"HH Inc.")</f>
        <v>0</v>
      </c>
      <c r="I13" s="10"/>
      <c r="J13" s="39">
        <f>-_xll.NSGLABAL($J$1,$B13,$B$3)</f>
        <v>0</v>
      </c>
      <c r="K13" s="40">
        <f>-_xll.NSGLABAL($J$1,$B13,$B$3,,,,,"HH Inc.")</f>
        <v>0</v>
      </c>
      <c r="L13" s="10"/>
      <c r="M13" s="42">
        <f t="shared" ref="M13:M36" si="1">E13+H13+K13</f>
        <v>0</v>
      </c>
    </row>
    <row r="14" spans="2:13" ht="8.25" customHeight="1" x14ac:dyDescent="0.25">
      <c r="B14" s="51"/>
      <c r="C14" s="52"/>
      <c r="D14" s="16"/>
      <c r="E14" s="51"/>
      <c r="F14" s="10"/>
      <c r="G14" s="51"/>
      <c r="H14" s="51"/>
      <c r="I14" s="10"/>
      <c r="J14" s="51"/>
      <c r="K14" s="51"/>
      <c r="L14" s="10"/>
      <c r="M14" s="51"/>
    </row>
    <row r="15" spans="2:13" s="45" customFormat="1" ht="16.899999999999999" customHeight="1" x14ac:dyDescent="0.25">
      <c r="B15" s="46"/>
      <c r="C15" s="47" t="s">
        <v>12</v>
      </c>
      <c r="D15" s="43"/>
      <c r="E15" s="48">
        <f>SUM(E8:E13)</f>
        <v>9050634.5500000007</v>
      </c>
      <c r="F15" s="44"/>
      <c r="G15" s="49">
        <f t="shared" ref="G15:H15" si="2">SUM(G8:G13)</f>
        <v>1133792.5</v>
      </c>
      <c r="H15" s="50">
        <f t="shared" si="2"/>
        <v>60087.770000000004</v>
      </c>
      <c r="I15" s="44"/>
      <c r="J15" s="49">
        <f t="shared" ref="J15:M15" si="3">SUM(J8:J13)</f>
        <v>995246.3</v>
      </c>
      <c r="K15" s="50">
        <f t="shared" si="3"/>
        <v>1467839.01</v>
      </c>
      <c r="L15" s="44"/>
      <c r="M15" s="48">
        <f t="shared" si="3"/>
        <v>10578561.329999998</v>
      </c>
    </row>
    <row r="16" spans="2:13" ht="7.9" customHeight="1" x14ac:dyDescent="0.25">
      <c r="B16" s="23"/>
      <c r="C16" s="24"/>
      <c r="D16" s="16"/>
      <c r="E16" s="25"/>
      <c r="F16" s="10"/>
      <c r="G16" s="25"/>
      <c r="H16" s="25"/>
      <c r="I16" s="10"/>
      <c r="J16" s="25"/>
      <c r="K16" s="25"/>
      <c r="L16" s="10"/>
      <c r="M16" s="26"/>
    </row>
    <row r="17" spans="2:13" x14ac:dyDescent="0.25">
      <c r="B17" s="31" t="str">
        <f>IF(TRUE,"5000","LI(6,0)")</f>
        <v>5000</v>
      </c>
      <c r="C17" s="32" t="str">
        <f>IF(TRUE,"Purchases","LI(6,1)")</f>
        <v>Purchases</v>
      </c>
      <c r="D17" s="16"/>
      <c r="E17" s="35">
        <f>_xll.NSGLABAL($E$1,$B17,$B$3)</f>
        <v>2963804.7</v>
      </c>
      <c r="F17" s="10"/>
      <c r="G17" s="37">
        <f>_xll.NSGLABAL($G$1,$B17,$B$3)</f>
        <v>187150.3</v>
      </c>
      <c r="H17" s="38">
        <f>_xll.NSGLABAL($G$1,$B17,$B$3,,,,,"HH Inc.")</f>
        <v>9918.43</v>
      </c>
      <c r="I17" s="10"/>
      <c r="J17" s="37">
        <f>_xll.NSGLABAL($J$1,$B17,$B$3)</f>
        <v>279299.20000000001</v>
      </c>
      <c r="K17" s="38">
        <f>_xll.NSGLABAL($J$1,$B17,$B$3,,,,,"HH Inc.")</f>
        <v>411924.43</v>
      </c>
      <c r="L17" s="10"/>
      <c r="M17" s="41">
        <f t="shared" si="1"/>
        <v>3385647.5600000005</v>
      </c>
    </row>
    <row r="18" spans="2:13" x14ac:dyDescent="0.25">
      <c r="B18" s="2" t="str">
        <f>IF(TRUE,"5002","LI(7,0)")</f>
        <v>5002</v>
      </c>
      <c r="C18" s="3" t="str">
        <f>IF(TRUE,"Merchandise","LI(7,1)")</f>
        <v>Merchandise</v>
      </c>
      <c r="D18" s="16"/>
      <c r="E18" s="7">
        <f>_xll.NSGLABAL($E$1,$B18,$B$3)</f>
        <v>38947.800000000003</v>
      </c>
      <c r="F18" s="10"/>
      <c r="G18" s="4">
        <f>_xll.NSGLABAL($G$1,$B18,$B$3)</f>
        <v>202813.1</v>
      </c>
      <c r="H18" s="5">
        <f>_xll.NSGLABAL($G$1,$B18,$B$3,,,,,"HH Inc.")</f>
        <v>10748.52</v>
      </c>
      <c r="I18" s="10"/>
      <c r="J18" s="4">
        <f>_xll.NSGLABAL($J$1,$B18,$B$3)</f>
        <v>0</v>
      </c>
      <c r="K18" s="5">
        <f>_xll.NSGLABAL($J$1,$B18,$B$3,,,,,"HH Inc.")</f>
        <v>0</v>
      </c>
      <c r="L18" s="10"/>
      <c r="M18" s="6">
        <f t="shared" si="1"/>
        <v>49696.320000000007</v>
      </c>
    </row>
    <row r="19" spans="2:13" x14ac:dyDescent="0.25">
      <c r="B19" s="2" t="str">
        <f>IF(TRUE,"5004","LI(8,0)")</f>
        <v>5004</v>
      </c>
      <c r="C19" s="3" t="str">
        <f>IF(TRUE,"Service","LI(8,1)")</f>
        <v>Service</v>
      </c>
      <c r="D19" s="16"/>
      <c r="E19" s="7">
        <f>_xll.NSGLABAL($E$1,$B19,$B$3)</f>
        <v>0</v>
      </c>
      <c r="F19" s="10"/>
      <c r="G19" s="4">
        <f>_xll.NSGLABAL($G$1,$B19,$B$3)</f>
        <v>17068.400000000001</v>
      </c>
      <c r="H19" s="5">
        <f>_xll.NSGLABAL($G$1,$B19,$B$3,,,,,"HH Inc.")</f>
        <v>904.58</v>
      </c>
      <c r="I19" s="10"/>
      <c r="J19" s="4">
        <f>_xll.NSGLABAL($J$1,$B19,$B$3)</f>
        <v>55506.8</v>
      </c>
      <c r="K19" s="5">
        <f>_xll.NSGLABAL($J$1,$B19,$B$3,,,,,"HH Inc.")</f>
        <v>81864.2</v>
      </c>
      <c r="L19" s="10"/>
      <c r="M19" s="6">
        <f t="shared" si="1"/>
        <v>82768.78</v>
      </c>
    </row>
    <row r="20" spans="2:13" x14ac:dyDescent="0.25">
      <c r="B20" s="2" t="str">
        <f>IF(TRUE,"5020","LI(9,0)")</f>
        <v>5020</v>
      </c>
      <c r="C20" s="3" t="str">
        <f>IF(TRUE,"Salaries &amp; Wages","LI(9,1)")</f>
        <v>Salaries &amp; Wages</v>
      </c>
      <c r="D20" s="16"/>
      <c r="E20" s="7">
        <f>_xll.NSGLABAL($E$1,$B20,$B$3)</f>
        <v>2366496.5</v>
      </c>
      <c r="F20" s="10"/>
      <c r="G20" s="4">
        <f>_xll.NSGLABAL($G$1,$B20,$B$3)</f>
        <v>314073</v>
      </c>
      <c r="H20" s="5">
        <f>_xll.NSGLABAL($G$1,$B20,$B$3,,,,,"HH Inc.")</f>
        <v>16644.97</v>
      </c>
      <c r="I20" s="10"/>
      <c r="J20" s="4">
        <f>_xll.NSGLABAL($J$1,$B20,$B$3)</f>
        <v>787910.4</v>
      </c>
      <c r="K20" s="5">
        <f>_xll.NSGLABAL($J$1,$B20,$B$3,,,,,"HH Inc.")</f>
        <v>1162049.6499999999</v>
      </c>
      <c r="L20" s="10"/>
      <c r="M20" s="6">
        <f t="shared" si="1"/>
        <v>3545191.12</v>
      </c>
    </row>
    <row r="21" spans="2:13" x14ac:dyDescent="0.25">
      <c r="B21" s="2" t="str">
        <f>IF(TRUE,"5040","LI(10,0)")</f>
        <v>5040</v>
      </c>
      <c r="C21" s="3" t="str">
        <f>IF(TRUE,"Damaged Goods","LI(10,1)")</f>
        <v>Damaged Goods</v>
      </c>
      <c r="D21" s="16"/>
      <c r="E21" s="7">
        <f>_xll.NSGLABAL($E$1,$B21,$B$3)</f>
        <v>500</v>
      </c>
      <c r="F21" s="10"/>
      <c r="G21" s="4">
        <f>_xll.NSGLABAL($G$1,$B21,$B$3)</f>
        <v>0</v>
      </c>
      <c r="H21" s="5">
        <f>_xll.NSGLABAL($G$1,$B21,$B$3,,,,,"HH Inc.")</f>
        <v>0</v>
      </c>
      <c r="I21" s="10"/>
      <c r="J21" s="4">
        <f>_xll.NSGLABAL($J$1,$B21,$B$3)</f>
        <v>10000</v>
      </c>
      <c r="K21" s="5">
        <f>_xll.NSGLABAL($J$1,$B21,$B$3,,,,,"HH Inc.")</f>
        <v>14748.5</v>
      </c>
      <c r="L21" s="10"/>
      <c r="M21" s="6">
        <f t="shared" si="1"/>
        <v>15248.5</v>
      </c>
    </row>
    <row r="22" spans="2:13" x14ac:dyDescent="0.25">
      <c r="B22" s="2" t="str">
        <f>IF(TRUE,"5080","LI(11,0)")</f>
        <v>5080</v>
      </c>
      <c r="C22" s="3" t="str">
        <f>IF(TRUE,"Inventory Write Offs","LI(11,1)")</f>
        <v>Inventory Write Offs</v>
      </c>
      <c r="D22" s="16"/>
      <c r="E22" s="7">
        <f>_xll.NSGLABAL($E$1,$B22,$B$3)</f>
        <v>100000</v>
      </c>
      <c r="F22" s="10"/>
      <c r="G22" s="4">
        <f>_xll.NSGLABAL($G$1,$B22,$B$3)</f>
        <v>0</v>
      </c>
      <c r="H22" s="5">
        <f>_xll.NSGLABAL($G$1,$B22,$B$3,,,,,"HH Inc.")</f>
        <v>0</v>
      </c>
      <c r="I22" s="10"/>
      <c r="J22" s="4">
        <f>_xll.NSGLABAL($J$1,$B22,$B$3)</f>
        <v>5000</v>
      </c>
      <c r="K22" s="5">
        <f>_xll.NSGLABAL($J$1,$B22,$B$3,,,,,"HH Inc.")</f>
        <v>7374.25</v>
      </c>
      <c r="L22" s="10"/>
      <c r="M22" s="6">
        <f t="shared" si="1"/>
        <v>107374.25</v>
      </c>
    </row>
    <row r="23" spans="2:13" hidden="1" x14ac:dyDescent="0.25">
      <c r="B23" s="2" t="str">
        <f>IF(TRUE,"5085","LI(12,0)")</f>
        <v>5085</v>
      </c>
      <c r="C23" s="3" t="str">
        <f>IF(TRUE,"Customer Return Variance","LI(12,1)")</f>
        <v>Customer Return Variance</v>
      </c>
      <c r="D23" s="16"/>
      <c r="E23" s="7">
        <f>_xll.NSGLABAL($E$1,$B23,$B$3)</f>
        <v>0</v>
      </c>
      <c r="F23" s="10"/>
      <c r="G23" s="4">
        <f>_xll.NSGLABAL($G$1,$B23,$B$3)</f>
        <v>0</v>
      </c>
      <c r="H23" s="5">
        <f>_xll.NSGLABAL($G$1,$B23,$B$3,,,,,"HH Inc.")</f>
        <v>0</v>
      </c>
      <c r="I23" s="10"/>
      <c r="J23" s="4">
        <f>_xll.NSGLABAL($J$1,$B23,$B$3)</f>
        <v>0</v>
      </c>
      <c r="K23" s="5">
        <f>_xll.NSGLABAL($J$1,$B23,$B$3,,,,,"HH Inc.")</f>
        <v>0</v>
      </c>
      <c r="L23" s="10"/>
      <c r="M23" s="6">
        <f t="shared" si="1"/>
        <v>0</v>
      </c>
    </row>
    <row r="24" spans="2:13" hidden="1" x14ac:dyDescent="0.25">
      <c r="B24" s="2" t="str">
        <f>IF(TRUE,"5086","LI(13,0)")</f>
        <v>5086</v>
      </c>
      <c r="C24" s="3" t="str">
        <f>IF(TRUE,"Vendor Return Variance","LI(13,1)")</f>
        <v>Vendor Return Variance</v>
      </c>
      <c r="D24" s="16"/>
      <c r="E24" s="7">
        <f>_xll.NSGLABAL($E$1,$B24,$B$3)</f>
        <v>0</v>
      </c>
      <c r="F24" s="10"/>
      <c r="G24" s="4">
        <f>_xll.NSGLABAL($G$1,$B24,$B$3)</f>
        <v>0</v>
      </c>
      <c r="H24" s="5">
        <f>_xll.NSGLABAL($G$1,$B24,$B$3,,,,,"HH Inc.")</f>
        <v>0</v>
      </c>
      <c r="I24" s="10"/>
      <c r="J24" s="4">
        <f>_xll.NSGLABAL($J$1,$B24,$B$3)</f>
        <v>0</v>
      </c>
      <c r="K24" s="5">
        <f>_xll.NSGLABAL($J$1,$B24,$B$3,,,,,"HH Inc.")</f>
        <v>0</v>
      </c>
      <c r="L24" s="10"/>
      <c r="M24" s="6">
        <f t="shared" si="1"/>
        <v>0</v>
      </c>
    </row>
    <row r="25" spans="2:13" x14ac:dyDescent="0.25">
      <c r="B25" s="2" t="str">
        <f>IF(TRUE,"5090","LI(14,0)")</f>
        <v>5090</v>
      </c>
      <c r="C25" s="3" t="str">
        <f>IF(TRUE,"Inventory Variance","LI(14,1)")</f>
        <v>Inventory Variance</v>
      </c>
      <c r="D25" s="16"/>
      <c r="E25" s="7">
        <f>_xll.NSGLABAL($E$1,$B25,$B$3)</f>
        <v>0</v>
      </c>
      <c r="F25" s="10"/>
      <c r="G25" s="4">
        <f>_xll.NSGLABAL($G$1,$B25,$B$3)</f>
        <v>20000</v>
      </c>
      <c r="H25" s="5">
        <f>_xll.NSGLABAL($G$1,$B25,$B$3,,,,,"HH Inc.")</f>
        <v>1059.94</v>
      </c>
      <c r="I25" s="10"/>
      <c r="J25" s="4">
        <f>_xll.NSGLABAL($J$1,$B25,$B$3)</f>
        <v>0</v>
      </c>
      <c r="K25" s="5">
        <f>_xll.NSGLABAL($J$1,$B25,$B$3,,,,,"HH Inc.")</f>
        <v>0</v>
      </c>
      <c r="L25" s="10"/>
      <c r="M25" s="6">
        <f t="shared" si="1"/>
        <v>1059.94</v>
      </c>
    </row>
    <row r="26" spans="2:13" hidden="1" x14ac:dyDescent="0.25">
      <c r="B26" s="2" t="str">
        <f>IF(TRUE,"5091","LI(15,0)")</f>
        <v>5091</v>
      </c>
      <c r="C26" s="3" t="str">
        <f>IF(TRUE,"Inventory Transfer Price Gain / Loss","LI(15,1)")</f>
        <v>Inventory Transfer Price Gain / Loss</v>
      </c>
      <c r="D26" s="16"/>
      <c r="E26" s="7">
        <f>_xll.NSGLABAL($E$1,$B26,$B$3)</f>
        <v>0</v>
      </c>
      <c r="F26" s="10"/>
      <c r="G26" s="4">
        <f>_xll.NSGLABAL($G$1,$B26,$B$3)</f>
        <v>0</v>
      </c>
      <c r="H26" s="5">
        <f>_xll.NSGLABAL($G$1,$B26,$B$3,,,,,"HH Inc.")</f>
        <v>0</v>
      </c>
      <c r="I26" s="10"/>
      <c r="J26" s="4">
        <f>_xll.NSGLABAL($J$1,$B26,$B$3)</f>
        <v>0</v>
      </c>
      <c r="K26" s="5">
        <f>_xll.NSGLABAL($J$1,$B26,$B$3,,,,,"HH Inc.")</f>
        <v>0</v>
      </c>
      <c r="L26" s="10"/>
      <c r="M26" s="6">
        <f t="shared" si="1"/>
        <v>0</v>
      </c>
    </row>
    <row r="27" spans="2:13" hidden="1" x14ac:dyDescent="0.25">
      <c r="B27" s="2" t="str">
        <f>IF(TRUE,"5092","LI(16,0)")</f>
        <v>5092</v>
      </c>
      <c r="C27" s="3" t="str">
        <f>IF(TRUE,"Purchase Price Variance","LI(16,1)")</f>
        <v>Purchase Price Variance</v>
      </c>
      <c r="D27" s="16"/>
      <c r="E27" s="7">
        <f>_xll.NSGLABAL($E$1,$B27,$B$3)</f>
        <v>0</v>
      </c>
      <c r="F27" s="10"/>
      <c r="G27" s="4">
        <f>_xll.NSGLABAL($G$1,$B27,$B$3)</f>
        <v>0</v>
      </c>
      <c r="H27" s="5">
        <f>_xll.NSGLABAL($G$1,$B27,$B$3,,,,,"HH Inc.")</f>
        <v>0</v>
      </c>
      <c r="I27" s="10"/>
      <c r="J27" s="4">
        <f>_xll.NSGLABAL($J$1,$B27,$B$3)</f>
        <v>0</v>
      </c>
      <c r="K27" s="5">
        <f>_xll.NSGLABAL($J$1,$B27,$B$3,,,,,"HH Inc.")</f>
        <v>0</v>
      </c>
      <c r="L27" s="10"/>
      <c r="M27" s="6">
        <f t="shared" si="1"/>
        <v>0</v>
      </c>
    </row>
    <row r="28" spans="2:13" hidden="1" x14ac:dyDescent="0.25">
      <c r="B28" s="2" t="str">
        <f>IF(TRUE,"5093","LI(17,0)")</f>
        <v>5093</v>
      </c>
      <c r="C28" s="3" t="str">
        <f>IF(TRUE,"Build Price Variance","LI(17,1)")</f>
        <v>Build Price Variance</v>
      </c>
      <c r="D28" s="16"/>
      <c r="E28" s="7">
        <f>_xll.NSGLABAL($E$1,$B28,$B$3)</f>
        <v>0</v>
      </c>
      <c r="F28" s="10"/>
      <c r="G28" s="4">
        <f>_xll.NSGLABAL($G$1,$B28,$B$3)</f>
        <v>0</v>
      </c>
      <c r="H28" s="5">
        <f>_xll.NSGLABAL($G$1,$B28,$B$3,,,,,"HH Inc.")</f>
        <v>0</v>
      </c>
      <c r="I28" s="10"/>
      <c r="J28" s="4">
        <f>_xll.NSGLABAL($J$1,$B28,$B$3)</f>
        <v>0</v>
      </c>
      <c r="K28" s="5">
        <f>_xll.NSGLABAL($J$1,$B28,$B$3,,,,,"HH Inc.")</f>
        <v>0</v>
      </c>
      <c r="L28" s="10"/>
      <c r="M28" s="6">
        <f t="shared" si="1"/>
        <v>0</v>
      </c>
    </row>
    <row r="29" spans="2:13" hidden="1" x14ac:dyDescent="0.25">
      <c r="B29" s="2" t="str">
        <f>IF(TRUE,"5094","LI(18,0)")</f>
        <v>5094</v>
      </c>
      <c r="C29" s="3" t="str">
        <f>IF(TRUE,"Build Quantity Variance","LI(18,1)")</f>
        <v>Build Quantity Variance</v>
      </c>
      <c r="D29" s="16"/>
      <c r="E29" s="7">
        <f>_xll.NSGLABAL($E$1,$B29,$B$3)</f>
        <v>0</v>
      </c>
      <c r="F29" s="10"/>
      <c r="G29" s="4">
        <f>_xll.NSGLABAL($G$1,$B29,$B$3)</f>
        <v>0</v>
      </c>
      <c r="H29" s="5">
        <f>_xll.NSGLABAL($G$1,$B29,$B$3,,,,,"HH Inc.")</f>
        <v>0</v>
      </c>
      <c r="I29" s="10"/>
      <c r="J29" s="4">
        <f>_xll.NSGLABAL($J$1,$B29,$B$3)</f>
        <v>0</v>
      </c>
      <c r="K29" s="5">
        <f>_xll.NSGLABAL($J$1,$B29,$B$3,,,,,"HH Inc.")</f>
        <v>0</v>
      </c>
      <c r="L29" s="10"/>
      <c r="M29" s="6">
        <f t="shared" si="1"/>
        <v>0</v>
      </c>
    </row>
    <row r="30" spans="2:13" hidden="1" x14ac:dyDescent="0.25">
      <c r="B30" s="2" t="str">
        <f>IF(TRUE,"5095","LI(19,0)")</f>
        <v>5095</v>
      </c>
      <c r="C30" s="3" t="str">
        <f>IF(TRUE,"Bill Quantity Variance","LI(19,1)")</f>
        <v>Bill Quantity Variance</v>
      </c>
      <c r="D30" s="16"/>
      <c r="E30" s="7">
        <f>_xll.NSGLABAL($E$1,$B30,$B$3)</f>
        <v>0</v>
      </c>
      <c r="F30" s="10"/>
      <c r="G30" s="4">
        <f>_xll.NSGLABAL($G$1,$B30,$B$3)</f>
        <v>0</v>
      </c>
      <c r="H30" s="5">
        <f>_xll.NSGLABAL($G$1,$B30,$B$3,,,,,"HH Inc.")</f>
        <v>0</v>
      </c>
      <c r="I30" s="10"/>
      <c r="J30" s="4">
        <f>_xll.NSGLABAL($J$1,$B30,$B$3)</f>
        <v>0</v>
      </c>
      <c r="K30" s="5">
        <f>_xll.NSGLABAL($J$1,$B30,$B$3,,,,,"HH Inc.")</f>
        <v>0</v>
      </c>
      <c r="L30" s="10"/>
      <c r="M30" s="6">
        <f t="shared" si="1"/>
        <v>0</v>
      </c>
    </row>
    <row r="31" spans="2:13" hidden="1" x14ac:dyDescent="0.25">
      <c r="B31" s="2" t="str">
        <f>IF(TRUE,"5096","LI(20,0)")</f>
        <v>5096</v>
      </c>
      <c r="C31" s="3" t="str">
        <f>IF(TRUE,"Bill Price Variance","LI(20,1)")</f>
        <v>Bill Price Variance</v>
      </c>
      <c r="D31" s="16"/>
      <c r="E31" s="7">
        <f>_xll.NSGLABAL($E$1,$B31,$B$3)</f>
        <v>0</v>
      </c>
      <c r="F31" s="10"/>
      <c r="G31" s="4">
        <f>_xll.NSGLABAL($G$1,$B31,$B$3)</f>
        <v>0</v>
      </c>
      <c r="H31" s="5">
        <f>_xll.NSGLABAL($G$1,$B31,$B$3,,,,,"HH Inc.")</f>
        <v>0</v>
      </c>
      <c r="I31" s="10"/>
      <c r="J31" s="4">
        <f>_xll.NSGLABAL($J$1,$B31,$B$3)</f>
        <v>0</v>
      </c>
      <c r="K31" s="5">
        <f>_xll.NSGLABAL($J$1,$B31,$B$3,,,,,"HH Inc.")</f>
        <v>0</v>
      </c>
      <c r="L31" s="10"/>
      <c r="M31" s="6">
        <f t="shared" si="1"/>
        <v>0</v>
      </c>
    </row>
    <row r="32" spans="2:13" hidden="1" x14ac:dyDescent="0.25">
      <c r="B32" s="2" t="str">
        <f>IF(TRUE,"5097","LI(21,0)")</f>
        <v>5097</v>
      </c>
      <c r="C32" s="3" t="str">
        <f>IF(TRUE,"Bill Exchange Rate Variance","LI(21,1)")</f>
        <v>Bill Exchange Rate Variance</v>
      </c>
      <c r="D32" s="16"/>
      <c r="E32" s="7">
        <f>_xll.NSGLABAL($E$1,$B32,$B$3)</f>
        <v>0</v>
      </c>
      <c r="F32" s="10"/>
      <c r="G32" s="4">
        <f>_xll.NSGLABAL($G$1,$B32,$B$3)</f>
        <v>0</v>
      </c>
      <c r="H32" s="5">
        <f>_xll.NSGLABAL($G$1,$B32,$B$3,,,,,"HH Inc.")</f>
        <v>0</v>
      </c>
      <c r="I32" s="10"/>
      <c r="J32" s="4">
        <f>_xll.NSGLABAL($J$1,$B32,$B$3)</f>
        <v>0</v>
      </c>
      <c r="K32" s="5">
        <f>_xll.NSGLABAL($J$1,$B32,$B$3,,,,,"HH Inc.")</f>
        <v>0</v>
      </c>
      <c r="L32" s="10"/>
      <c r="M32" s="6">
        <f t="shared" si="1"/>
        <v>0</v>
      </c>
    </row>
    <row r="33" spans="2:13" hidden="1" x14ac:dyDescent="0.25">
      <c r="B33" s="2" t="str">
        <f>IF(TRUE,"5098","LI(22,0)")</f>
        <v>5098</v>
      </c>
      <c r="C33" s="3" t="str">
        <f>IF(TRUE,"Unbuild Variance","LI(22,1)")</f>
        <v>Unbuild Variance</v>
      </c>
      <c r="D33" s="16"/>
      <c r="E33" s="7">
        <f>_xll.NSGLABAL($E$1,$B33,$B$3)</f>
        <v>0</v>
      </c>
      <c r="F33" s="10"/>
      <c r="G33" s="4">
        <f>_xll.NSGLABAL($G$1,$B33,$B$3)</f>
        <v>0</v>
      </c>
      <c r="H33" s="5">
        <f>_xll.NSGLABAL($G$1,$B33,$B$3,,,,,"HH Inc.")</f>
        <v>0</v>
      </c>
      <c r="I33" s="10"/>
      <c r="J33" s="4">
        <f>_xll.NSGLABAL($J$1,$B33,$B$3)</f>
        <v>0</v>
      </c>
      <c r="K33" s="5">
        <f>_xll.NSGLABAL($J$1,$B33,$B$3,,,,,"HH Inc.")</f>
        <v>0</v>
      </c>
      <c r="L33" s="10"/>
      <c r="M33" s="6">
        <f t="shared" si="1"/>
        <v>0</v>
      </c>
    </row>
    <row r="34" spans="2:13" hidden="1" x14ac:dyDescent="0.25">
      <c r="B34" s="2" t="str">
        <f>IF(TRUE,"5100","LI(23,0)")</f>
        <v>5100</v>
      </c>
      <c r="C34" s="3" t="str">
        <f>IF(TRUE,"Mfg WIP","LI(23,1)")</f>
        <v>Mfg WIP</v>
      </c>
      <c r="D34" s="16"/>
      <c r="E34" s="7">
        <f>_xll.NSGLABAL($E$1,$B34,$B$3)</f>
        <v>0</v>
      </c>
      <c r="F34" s="10"/>
      <c r="G34" s="4">
        <f>_xll.NSGLABAL($G$1,$B34,$B$3)</f>
        <v>0</v>
      </c>
      <c r="H34" s="5">
        <f>_xll.NSGLABAL($G$1,$B34,$B$3,,,,,"HH Inc.")</f>
        <v>0</v>
      </c>
      <c r="I34" s="10"/>
      <c r="J34" s="4">
        <f>_xll.NSGLABAL($J$1,$B34,$B$3)</f>
        <v>0</v>
      </c>
      <c r="K34" s="5">
        <f>_xll.NSGLABAL($J$1,$B34,$B$3,,,,,"HH Inc.")</f>
        <v>0</v>
      </c>
      <c r="L34" s="10"/>
      <c r="M34" s="6">
        <f t="shared" si="1"/>
        <v>0</v>
      </c>
    </row>
    <row r="35" spans="2:13" x14ac:dyDescent="0.25">
      <c r="B35" s="2" t="str">
        <f>IF(TRUE,"5101","LI(24,0)")</f>
        <v>5101</v>
      </c>
      <c r="C35" s="3" t="str">
        <f>IF(TRUE,"Mfg Scrap","LI(24,1)")</f>
        <v>Mfg Scrap</v>
      </c>
      <c r="D35" s="16"/>
      <c r="E35" s="7">
        <f>_xll.NSGLABAL($E$1,$B35,$B$3)</f>
        <v>0</v>
      </c>
      <c r="F35" s="10"/>
      <c r="G35" s="4">
        <f>_xll.NSGLABAL($G$1,$B35,$B$3)</f>
        <v>10000</v>
      </c>
      <c r="H35" s="5">
        <f>_xll.NSGLABAL($G$1,$B35,$B$3,,,,,"HH Inc.")</f>
        <v>529.97</v>
      </c>
      <c r="I35" s="10"/>
      <c r="J35" s="4">
        <f>_xll.NSGLABAL($J$1,$B35,$B$3)</f>
        <v>0</v>
      </c>
      <c r="K35" s="5">
        <f>_xll.NSGLABAL($J$1,$B35,$B$3,,,,,"HH Inc.")</f>
        <v>0</v>
      </c>
      <c r="L35" s="10"/>
      <c r="M35" s="6">
        <f t="shared" si="1"/>
        <v>529.97</v>
      </c>
    </row>
    <row r="36" spans="2:13" hidden="1" x14ac:dyDescent="0.25">
      <c r="B36" s="2" t="str">
        <f>IF(TRUE,"5102","LI(25,0)")</f>
        <v>5102</v>
      </c>
      <c r="C36" s="3" t="str">
        <f>IF(TRUE,"WIP Variance","LI(25,1)")</f>
        <v>WIP Variance</v>
      </c>
      <c r="D36" s="16"/>
      <c r="E36" s="7">
        <f>_xll.NSGLABAL($E$1,$B36,$B$3)</f>
        <v>0</v>
      </c>
      <c r="F36" s="10"/>
      <c r="G36" s="4">
        <f>_xll.NSGLABAL($G$1,$B36,$B$3)</f>
        <v>0</v>
      </c>
      <c r="H36" s="5">
        <f>_xll.NSGLABAL($G$1,$B36,$B$3,,,,,"HH Inc.")</f>
        <v>0</v>
      </c>
      <c r="I36" s="10"/>
      <c r="J36" s="4">
        <f>_xll.NSGLABAL($J$1,$B36,$B$3)</f>
        <v>0</v>
      </c>
      <c r="K36" s="5">
        <f>_xll.NSGLABAL($J$1,$B36,$B$3,,,,,"HH Inc.")</f>
        <v>0</v>
      </c>
      <c r="L36" s="10"/>
      <c r="M36" s="6">
        <f t="shared" si="1"/>
        <v>0</v>
      </c>
    </row>
    <row r="37" spans="2:13" hidden="1" x14ac:dyDescent="0.25">
      <c r="B37" s="33" t="str">
        <f>IF(TRUE,"5200","LI(26,0)")</f>
        <v>5200</v>
      </c>
      <c r="C37" s="34" t="str">
        <f>IF(TRUE,"Vendor Rebates","LI(26,1)")</f>
        <v>Vendor Rebates</v>
      </c>
      <c r="D37" s="16"/>
      <c r="E37" s="36">
        <f>_xll.NSGLABAL($E$1,$B37,$B$3)</f>
        <v>0</v>
      </c>
      <c r="F37" s="10"/>
      <c r="G37" s="39">
        <f>_xll.NSGLABAL($G$1,$B37,$B$3)</f>
        <v>0</v>
      </c>
      <c r="H37" s="40">
        <f>_xll.NSGLABAL($G$1,$B37,$B$3,,,,,"HH Inc.")</f>
        <v>0</v>
      </c>
      <c r="I37" s="10"/>
      <c r="J37" s="39">
        <f>_xll.NSGLABAL($J$1,$B37,$B$3)</f>
        <v>0</v>
      </c>
      <c r="K37" s="40">
        <f>_xll.NSGLABAL($J$1,$B37,$B$3,,,,,"HH Inc.")</f>
        <v>0</v>
      </c>
      <c r="L37" s="10"/>
      <c r="M37" s="42">
        <f t="shared" si="0"/>
        <v>0</v>
      </c>
    </row>
    <row r="38" spans="2:13" ht="7.15" customHeight="1" x14ac:dyDescent="0.25">
      <c r="B38" s="23"/>
      <c r="C38" s="24"/>
      <c r="D38" s="16"/>
      <c r="E38" s="25"/>
      <c r="F38" s="10"/>
      <c r="G38" s="25"/>
      <c r="H38" s="25"/>
      <c r="I38" s="10"/>
      <c r="J38" s="25"/>
      <c r="K38" s="25"/>
      <c r="L38" s="10"/>
      <c r="M38" s="26"/>
    </row>
    <row r="39" spans="2:13" s="45" customFormat="1" ht="16.899999999999999" customHeight="1" x14ac:dyDescent="0.25">
      <c r="B39" s="46"/>
      <c r="C39" s="47" t="s">
        <v>13</v>
      </c>
      <c r="D39" s="43"/>
      <c r="E39" s="48">
        <f>SUM(E17:E37)</f>
        <v>5469749</v>
      </c>
      <c r="F39" s="44"/>
      <c r="G39" s="49">
        <f>SUM(G17:G38)</f>
        <v>751104.8</v>
      </c>
      <c r="H39" s="50">
        <f>SUM(H17:H38)</f>
        <v>39806.410000000003</v>
      </c>
      <c r="I39" s="44"/>
      <c r="J39" s="49">
        <f t="shared" ref="J39:K39" si="4">SUM(J17:J38)</f>
        <v>1137716.3999999999</v>
      </c>
      <c r="K39" s="50">
        <f t="shared" si="4"/>
        <v>1677961.0299999998</v>
      </c>
      <c r="L39" s="44"/>
      <c r="M39" s="48">
        <f>SUM(M17:M38)</f>
        <v>7187516.4400000004</v>
      </c>
    </row>
    <row r="40" spans="2:13" ht="6.4" customHeight="1" x14ac:dyDescent="0.25">
      <c r="B40" s="23"/>
      <c r="C40" s="24"/>
      <c r="D40" s="16"/>
      <c r="E40" s="25"/>
      <c r="F40" s="10"/>
      <c r="G40" s="25"/>
      <c r="H40" s="25"/>
      <c r="I40" s="10"/>
      <c r="J40" s="25"/>
      <c r="K40" s="25"/>
      <c r="L40" s="10"/>
      <c r="M40" s="26"/>
    </row>
    <row r="41" spans="2:13" s="45" customFormat="1" ht="16.899999999999999" customHeight="1" x14ac:dyDescent="0.25">
      <c r="B41" s="46"/>
      <c r="C41" s="47" t="s">
        <v>11</v>
      </c>
      <c r="D41" s="43"/>
      <c r="E41" s="48">
        <f>SUM(E8:E39)</f>
        <v>29040767.100000001</v>
      </c>
      <c r="F41" s="44"/>
      <c r="G41" s="49">
        <f>SUM(G8:G39)</f>
        <v>3769794.5999999996</v>
      </c>
      <c r="H41" s="50">
        <f>SUM(H8:H39)</f>
        <v>199788.36</v>
      </c>
      <c r="I41" s="44"/>
      <c r="J41" s="49">
        <f>SUM(J8:J39)</f>
        <v>4265925.4000000004</v>
      </c>
      <c r="K41" s="50">
        <f>SUM(K8:K39)</f>
        <v>6291600.0800000001</v>
      </c>
      <c r="L41" s="44"/>
      <c r="M41" s="48">
        <f>SUM(M8:M39)</f>
        <v>35532155.539999999</v>
      </c>
    </row>
  </sheetData>
  <mergeCells count="5">
    <mergeCell ref="B3:C3"/>
    <mergeCell ref="E3:K3"/>
    <mergeCell ref="G5:H5"/>
    <mergeCell ref="J5:K5"/>
    <mergeCell ref="C5:C6"/>
  </mergeCells>
  <pageMargins left="0.7" right="0.7" top="0.75" bottom="0.75" header="0.3" footer="0.3"/>
  <pageSetup paperSize="9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B16FF2F12A3694FB6E173118C58ABFF" ma:contentTypeVersion="3" ma:contentTypeDescription="Create a new document." ma:contentTypeScope="" ma:versionID="f7305974b403178585485e77ba8ece11">
  <xsd:schema xmlns:xsd="http://www.w3.org/2001/XMLSchema" xmlns:xs="http://www.w3.org/2001/XMLSchema" xmlns:p="http://schemas.microsoft.com/office/2006/metadata/properties" xmlns:ns2="2504ec5a-3c83-4ff5-945b-9a0e66d429fb" targetNamespace="http://schemas.microsoft.com/office/2006/metadata/properties" ma:root="true" ma:fieldsID="3af73078c6a68c5264332b4d3da382b7" ns2:_="">
    <xsd:import namespace="2504ec5a-3c83-4ff5-945b-9a0e66d429f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504ec5a-3c83-4ff5-945b-9a0e66d429f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C6F70A2-5AAC-42B2-AD17-AE5EE9006A98}"/>
</file>

<file path=customXml/itemProps2.xml><?xml version="1.0" encoding="utf-8"?>
<ds:datastoreItem xmlns:ds="http://schemas.openxmlformats.org/officeDocument/2006/customXml" ds:itemID="{B99B3418-0D21-4568-8780-0BC2B38B02D6}"/>
</file>

<file path=customXml/itemProps3.xml><?xml version="1.0" encoding="utf-8"?>
<ds:datastoreItem xmlns:ds="http://schemas.openxmlformats.org/officeDocument/2006/customXml" ds:itemID="{2450B22F-842E-49D5-BEFB-CA5B669E4C7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Income - By Subsidiary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Simon Miles</dc:creator>
  <cp:lastModifiedBy>Phil Jose</cp:lastModifiedBy>
  <dcterms:created xsi:type="dcterms:W3CDTF">2013-02-28T16:21:34Z</dcterms:created>
  <dcterms:modified xsi:type="dcterms:W3CDTF">2017-05-08T13:29:41Z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0x010100DB16FF2F12A3694FB6E173118C58ABFF</vt:lpwstr>
  </property>
</Properties>
</file>