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0" yWindow="0" windowWidth="21600" windowHeight="10320" activeTab="1"/>
  </bookViews>
  <sheets>
    <sheet name="Automation" sheetId="3" r:id="rId1"/>
    <sheet name="{1} Template" sheetId="1" r:id="rId2"/>
  </sheets>
  <definedNames>
    <definedName name="REP7CR" localSheetId="1" hidden="1">'{1} Template'!$G:$R</definedName>
    <definedName name="REP7P01" hidden="1">'{1} Template'!$B$4</definedName>
    <definedName name="SuppressColumns" localSheetId="1" hidden="1">FALSE</definedName>
    <definedName name="SuppressionOnTriggers" localSheetId="1" hidden="1">TRUE</definedName>
    <definedName name="SuppressionRefresh" localSheetId="1" hidden="1">FALSE</definedName>
    <definedName name="SuppressPressed" localSheetId="1" hidden="1">FALSE</definedName>
    <definedName name="SuppressPressed" hidden="1">FALSE</definedName>
    <definedName name="SuppressRows" localSheetId="1" hidden="1">TRUE</definedName>
    <definedName name="SupressPressed" localSheetId="1" hidden="1">FALSE</definedName>
    <definedName name="SupressPressed" hidden="1">FALSE</definedName>
    <definedName name="VersionNumber" hidden="1">"4.7.6310"</definedName>
    <definedName name="xdif_AutomationClearCache" hidden="1">TRUE</definedName>
    <definedName name="xdif_AutomationCreateFolderStructure" hidden="1">FALSE</definedName>
    <definedName name="xdif_AutomationDropFormulas" hidden="1">"DropIncludingOtherWorkbookFormulas"</definedName>
    <definedName name="xdif_AutomationEmailBody" hidden="1">"Hi All,_x000D_
_x000D_
Please find attached your latest {2} budget template.  Please complete and return the template within the next 2 weeks._x000D_
_x000D_
Thanks, _x000D_
_x000D_
Simon."</definedName>
    <definedName name="xdif_AutomationEmailFrom" hidden="1">"simon.miles@solution7.co.uk"</definedName>
    <definedName name="xdif_AutomationEmailSubject" hidden="1">"{2} Budgets"</definedName>
    <definedName name="xdif_AutomationIgnoreHiddenRows" hidden="1">TRUE</definedName>
    <definedName name="xdif_AutomationMode" hidden="1">"AutomationSheet"</definedName>
    <definedName name="xdif_AutomationProtection" hidden="1">FALSE</definedName>
    <definedName name="xdif_AutomationRange" hidden="1">Automation!$A$12:$E$18</definedName>
    <definedName name="xdif_AutomationSuppressZeros" hidden="1">FALSE</definedName>
    <definedName name="xdif_AutomationType01" hidden="1">"MultipleSheets"</definedName>
    <definedName name="xdif_AutomationUpdateLists" hidden="1">FALSE</definedName>
    <definedName name="xdif_RefreshIncludeLists" hidden="1">FALSE</definedName>
    <definedName name="xdif_SheetToAutomate01" hidden="1">'{1} Template'!$A$1:$X$154</definedName>
    <definedName name="xdif635392271278961654__dataRowCount" localSheetId="1" hidden="1">9</definedName>
    <definedName name="xdif635392271278961654__userDefinedName" localSheetId="1" hidden="1">"Subsidiaries 1"</definedName>
    <definedName name="xdif635392271278961654_AboveLeft" localSheetId="1" hidden="1">TRUE</definedName>
    <definedName name="xdif635392271278961654_AboveLeftCells" localSheetId="1" hidden="1">1</definedName>
    <definedName name="xdif635392271278961654_AutoFilter" localSheetId="1" hidden="1">FALSE</definedName>
    <definedName name="xdif635392271278961654_Autofit" localSheetId="1" hidden="1">FALSE</definedName>
    <definedName name="xdif635392271278961654_BelowRight" localSheetId="1" hidden="1">TRUE</definedName>
    <definedName name="xdif635392271278961654_BelowRightCells" localSheetId="1" hidden="1">1</definedName>
    <definedName name="xdif635392271278961654_DestinationRange" localSheetId="1" hidden="1">'{1} Template'!$G$4:$P$4</definedName>
    <definedName name="xdif635392271278961654_DistinctValues" localSheetId="1" hidden="1">FALSE</definedName>
    <definedName name="xdif635392271278961654_ObjectType" localSheetId="1" hidden="1">"Validation"</definedName>
    <definedName name="xdif635392271278961654_ParameterName00" localSheetId="1" hidden="1">"NSSubsidiary"</definedName>
    <definedName name="xdif635392271278961654_ParameterName01" localSheetId="1" hidden="1">"NSParentSubsidiary"</definedName>
    <definedName name="xdif635392271278961654_ParameterName02" localSheetId="1" hidden="1">"NSIncludeInactive"</definedName>
    <definedName name="xdif635392271278961654_ParameterName03" localSheetId="1" hidden="1">"NSIncludeConsolidated"</definedName>
    <definedName name="xdif635392271278961654_RefreshMode" localSheetId="1" hidden="1">"Automatic"</definedName>
    <definedName name="xdif635392271278961654_SelectAliasItem01" localSheetId="1" hidden="1">"Subsidiary"</definedName>
    <definedName name="xdif635392271278961654_SelectColumnFormulaItem01" localSheetId="1" hidden="1">"="</definedName>
    <definedName name="xdif635392271278961654_SelectColumnNameItem01" localSheetId="1" hidden="1">"FULL_NAME"</definedName>
    <definedName name="xdif635392271278961654_SelectFormatStringItem01" localSheetId="1" hidden="1">"{}"</definedName>
    <definedName name="xdif635392271278961654_SelectGroupItem01" localSheetId="1" hidden="1">"="</definedName>
    <definedName name="xdif635392271278961654_SelectItemRange01" localSheetId="1" hidden="1">'{1} Template'!$G$4</definedName>
    <definedName name="xdif635392271278961654_SelectItemType01" localSheetId="1" hidden="1">"Value"</definedName>
    <definedName name="xdif635392271278961654_SelectPathItem01" localSheetId="1" hidden="1">".SUBSIDIARY_LIST,SUBSIDIARY_LIST"</definedName>
    <definedName name="xdif635392271278961654_SelectVisibleItem01" localSheetId="1" hidden="1">TRUE</definedName>
    <definedName name="xdif635392271278961654_ShowColumnHeaders" localSheetId="1" hidden="1">FALSE</definedName>
    <definedName name="xdif635392271278961654_SourceObject" localSheetId="1" hidden="1">"NSSubsidiaries"</definedName>
    <definedName name="xdif635392271278961654_UserValue00" localSheetId="1" hidden="1">"="</definedName>
    <definedName name="xdif635392271278961654_UserValue01" localSheetId="1" hidden="1">"="</definedName>
    <definedName name="xdif635392271278961654_UserValue02" localSheetId="1" hidden="1">"="</definedName>
    <definedName name="xdif635392271278961654_UserValue03" localSheetId="1" hidden="1">"="</definedName>
    <definedName name="xdif635392271282554866__dataRowCount" localSheetId="1" hidden="1">27</definedName>
    <definedName name="xdif635392271282554866__userDefinedName" localSheetId="1" hidden="1">"Accounts (by Number) 1"</definedName>
    <definedName name="xdif635392271282554866_AboveLeft" localSheetId="1" hidden="1">TRUE</definedName>
    <definedName name="xdif635392271282554866_AboveLeftCells" localSheetId="1" hidden="1">1</definedName>
    <definedName name="xdif635392271282554866_AutoFilter" localSheetId="1" hidden="1">FALSE</definedName>
    <definedName name="xdif635392271282554866_Autofit" localSheetId="1" hidden="1">TRUE</definedName>
    <definedName name="xdif635392271282554866_BelowRight" localSheetId="1" hidden="1">TRUE</definedName>
    <definedName name="xdif635392271282554866_BelowRightCells" localSheetId="1" hidden="1">1</definedName>
    <definedName name="xdif635392271282554866_DestinationRange" localSheetId="1" hidden="1">'{1} Template'!$B$9:$C$38</definedName>
    <definedName name="xdif635392271282554866_DistinctValues" localSheetId="1" hidden="1">FALSE</definedName>
    <definedName name="xdif635392271282554866_ObjectType" localSheetId="1" hidden="1">"ListVertical"</definedName>
    <definedName name="xdif635392271282554866_ParameterName00" localSheetId="1" hidden="1">"NSSubsidiary"</definedName>
    <definedName name="xdif635392271282554866_ParameterName01" localSheetId="1" hidden="1">"NSAccountNumber"</definedName>
    <definedName name="xdif635392271282554866_ParameterName02" localSheetId="1" hidden="1">"NSAccountNumberEx"</definedName>
    <definedName name="xdif635392271282554866_ParameterName03" localSheetId="1" hidden="1">"NSIncludeInactive"</definedName>
    <definedName name="xdif635392271282554866_RefreshMode" localSheetId="1" hidden="1">"Automatic"</definedName>
    <definedName name="xdif635392271282554866_SelectAliasItem01" localSheetId="1" hidden="1">"Account No."</definedName>
    <definedName name="xdif635392271282554866_SelectAliasItem02" localSheetId="1" hidden="1">"Account Name"</definedName>
    <definedName name="xdif635392271282554866_SelectColumnFormulaItem01" localSheetId="1" hidden="1">"="</definedName>
    <definedName name="xdif635392271282554866_SelectColumnFormulaItem02" localSheetId="1" hidden="1">"="</definedName>
    <definedName name="xdif635392271282554866_SelectColumnNameItem01" localSheetId="1" hidden="1">"ACCOUNTNUMBER"</definedName>
    <definedName name="xdif635392271282554866_SelectColumnNameItem02" localSheetId="1" hidden="1">"NAME"</definedName>
    <definedName name="xdif635392271282554866_SelectGroupItem01" localSheetId="1" hidden="1">"="</definedName>
    <definedName name="xdif635392271282554866_SelectGroupItem02" localSheetId="1" hidden="1">"="</definedName>
    <definedName name="xdif635392271282554866_SelectItemRange01" localSheetId="1" hidden="1">'{1} Template'!$B$9:$B$38</definedName>
    <definedName name="xdif635392271282554866_SelectItemRange02" localSheetId="1" hidden="1">'{1} Template'!$C$9:$C$38</definedName>
    <definedName name="xdif635392271282554866_SelectItemType01" localSheetId="1" hidden="1">"Value"</definedName>
    <definedName name="xdif635392271282554866_SelectItemType02" localSheetId="1" hidden="1">"Value"</definedName>
    <definedName name="xdif635392271282554866_SelectPathItem01" localSheetId="1" hidden="1">".ACCOUNTS,Accounts"</definedName>
    <definedName name="xdif635392271282554866_SelectPathItem02" localSheetId="1" hidden="1">".ACCOUNTS,Accounts"</definedName>
    <definedName name="xdif635392271282554866_SelectVisibleItem01" localSheetId="1" hidden="1">TRUE</definedName>
    <definedName name="xdif635392271282554866_SelectVisibleItem02" localSheetId="1" hidden="1">TRUE</definedName>
    <definedName name="xdif635392271282554866_ShowColumnHeaders" localSheetId="1" hidden="1">FALSE</definedName>
    <definedName name="xdif635392271282554866_SortAliasItem01" localSheetId="1" hidden="1">"Account No."</definedName>
    <definedName name="xdif635392271282554866_SortColumnNameItem01" localSheetId="1" hidden="1">"ACCOUNTNUMBER"</definedName>
    <definedName name="xdif635392271282554866_SortOrderByItem01" localSheetId="1" hidden="1">"Asc"</definedName>
    <definedName name="xdif635392271282554866_SortPathItem01" localSheetId="1" hidden="1">".ACCOUNTS,Accounts"</definedName>
    <definedName name="xdif635392271282554866_SourceObject" localSheetId="1" hidden="1">"NSAccountsByNumber"</definedName>
    <definedName name="xdif635392271282554866_UserValue00" localSheetId="1" hidden="1">'{1} Template'!$G$4</definedName>
    <definedName name="xdif635392271282554866_UserValue01" localSheetId="1" hidden="1">{"4*","5*"}</definedName>
    <definedName name="xdif635392271282554866_UserValue02" localSheetId="1" hidden="1">"="</definedName>
    <definedName name="xdif635392271282554866_UserValue03" localSheetId="1" hidden="1">"="</definedName>
    <definedName name="xdif635877799520982229__dataRowCount" localSheetId="1" hidden="1">17</definedName>
    <definedName name="xdif635877799520982229__userDefinedName" localSheetId="1" hidden="1">"Locations 1"</definedName>
    <definedName name="xdif635877799520982229_AboveLeft" localSheetId="1" hidden="1">TRUE</definedName>
    <definedName name="xdif635877799520982229_AboveLeftCells" localSheetId="1" hidden="1">1</definedName>
    <definedName name="xdif635877799520982229_AutoFilter" localSheetId="1" hidden="1">FALSE</definedName>
    <definedName name="xdif635877799520982229_Autofit" localSheetId="1" hidden="1">TRUE</definedName>
    <definedName name="xdif635877799520982229_BelowRight" localSheetId="1" hidden="1">TRUE</definedName>
    <definedName name="xdif635877799520982229_BelowRightCells" localSheetId="1" hidden="1">1</definedName>
    <definedName name="xdif635877799520982229_DestinationRange" localSheetId="1" hidden="1">'{1} Template'!$B$4</definedName>
    <definedName name="xdif635877799520982229_ObjectType" localSheetId="1" hidden="1">"Validation"</definedName>
    <definedName name="xdif635877799520982229_ParameterName00" localSheetId="1" hidden="1">"NSLocation"</definedName>
    <definedName name="xdif635877799520982229_ParameterName01" localSheetId="1" hidden="1">"NSLocationEx"</definedName>
    <definedName name="xdif635877799520982229_ParameterName02" localSheetId="1" hidden="1">"NSIncludeInactive"</definedName>
    <definedName name="xdif635877799520982229_RefreshMode" localSheetId="1" hidden="1">"Automatic"</definedName>
    <definedName name="xdif635877799520982229_SelectAliasItem01" localSheetId="1" hidden="1">"FULL_NAME"</definedName>
    <definedName name="xdif635877799520982229_SelectColumnFormulaItem01" localSheetId="1" hidden="1">"="</definedName>
    <definedName name="xdif635877799520982229_SelectColumnNameItem01" localSheetId="1" hidden="1">"FULL_NAME"</definedName>
    <definedName name="xdif635877799520982229_SelectFormatStringItem01" localSheetId="1" hidden="1">"{}"</definedName>
    <definedName name="xdif635877799520982229_SelectGroupItem01" localSheetId="1" hidden="1">"="</definedName>
    <definedName name="xdif635877799520982229_SelectItemRange01" localSheetId="1" hidden="1">'{1} Template'!$B$4</definedName>
    <definedName name="xdif635877799520982229_SelectItemType01" localSheetId="1" hidden="1">"Value"</definedName>
    <definedName name="xdif635877799520982229_SelectPathItem01" localSheetId="1" hidden="1">".LOCATIONS,LOCATIONS"</definedName>
    <definedName name="xdif635877799520982229_SelectVisibleItem01" localSheetId="1" hidden="1">TRUE</definedName>
    <definedName name="xdif635877799520982229_ShowColumnHeaders" localSheetId="1" hidden="1">FALSE</definedName>
    <definedName name="xdif635877799520982229_SortAliasItem01" localSheetId="1" hidden="1">"Full Name"</definedName>
    <definedName name="xdif635877799520982229_SortColumnNameItem01" localSheetId="1" hidden="1">"FULL_NAME"</definedName>
    <definedName name="xdif635877799520982229_SortOrderByItem01" localSheetId="1" hidden="1">"Asc"</definedName>
    <definedName name="xdif635877799520982229_SortPathItem01" localSheetId="1" hidden="1">".LOCATIONS,LOCATIONS"</definedName>
    <definedName name="xdif635877799520982229_SourceObject" localSheetId="1" hidden="1">"NSLocations"</definedName>
    <definedName name="xdif635877799520982229_UserValue00" localSheetId="1" hidden="1">"="</definedName>
    <definedName name="xdif635877799520982229_UserValue01" localSheetId="1" hidden="1">"="</definedName>
    <definedName name="xdif635877799520982229_UserValue02" localSheetId="1" hidden="1">"="</definedName>
    <definedName name="xdif635942404516458826__dataRowCount" localSheetId="1" hidden="1">7</definedName>
    <definedName name="xdif635942404516458826__userDefinedName" localSheetId="1" hidden="1">"Budget Categories 1"</definedName>
    <definedName name="xdif635942404516458826_AboveLeft" localSheetId="1" hidden="1">TRUE</definedName>
    <definedName name="xdif635942404516458826_AboveLeftCells" localSheetId="1" hidden="1">1</definedName>
    <definedName name="xdif635942404516458826_AutoFilter" localSheetId="1" hidden="1">FALSE</definedName>
    <definedName name="xdif635942404516458826_Autofit" localSheetId="1" hidden="1">TRUE</definedName>
    <definedName name="xdif635942404516458826_BelowRight" localSheetId="1" hidden="1">TRUE</definedName>
    <definedName name="xdif635942404516458826_BelowRightCells" localSheetId="1" hidden="1">1</definedName>
    <definedName name="xdif635942404516458826_DestinationRange" localSheetId="1" hidden="1">'{1} Template'!$B$5</definedName>
    <definedName name="xdif635942404516458826_DistinctValues" localSheetId="1" hidden="1">FALSE</definedName>
    <definedName name="xdif635942404516458826_ObjectType" localSheetId="1" hidden="1">"Validation"</definedName>
    <definedName name="xdif635942404516458826_ParameterName00" localSheetId="1" hidden="1">"NSIncludeInactive"</definedName>
    <definedName name="xdif635942404516458826_RefreshMode" localSheetId="1" hidden="1">"Automatic"</definedName>
    <definedName name="xdif635942404516458826_SelectAliasItem01" localSheetId="1" hidden="1">"Budget Name"</definedName>
    <definedName name="xdif635942404516458826_SelectColumnFormulaItem01" localSheetId="1" hidden="1">"="</definedName>
    <definedName name="xdif635942404516458826_SelectColumnNameItem01" localSheetId="1" hidden="1">"NAME"</definedName>
    <definedName name="xdif635942404516458826_SelectFormatStringItem01" localSheetId="1" hidden="1">"{}"</definedName>
    <definedName name="xdif635942404516458826_SelectGroupItem01" localSheetId="1" hidden="1">"="</definedName>
    <definedName name="xdif635942404516458826_SelectItemRange01" localSheetId="1" hidden="1">'{1} Template'!$B$5</definedName>
    <definedName name="xdif635942404516458826_SelectItemType01" localSheetId="1" hidden="1">"Value"</definedName>
    <definedName name="xdif635942404516458826_SelectPathItem01" localSheetId="1" hidden="1">".BUDGET_CATEGORY,Budget Category"</definedName>
    <definedName name="xdif635942404516458826_SelectVisibleItem01" localSheetId="1" hidden="1">TRUE</definedName>
    <definedName name="xdif635942404516458826_ShowColumnHeaders" localSheetId="1" hidden="1">FALSE</definedName>
    <definedName name="xdif635942404516458826_SortAliasItem01" localSheetId="1" hidden="1">"Budget Name"</definedName>
    <definedName name="xdif635942404516458826_SortColumnNameItem01" localSheetId="1" hidden="1">"NAME"</definedName>
    <definedName name="xdif635942404516458826_SortOrderByItem01" localSheetId="1" hidden="1">"Asc"</definedName>
    <definedName name="xdif635942404516458826_SortPathItem01" localSheetId="1" hidden="1">".BUDGET_CATEGORY,Budget Category"</definedName>
    <definedName name="xdif635942404516458826_SourceObject" localSheetId="1" hidden="1">"NSBudgetCategory"</definedName>
    <definedName name="xdif635942404516458826_UserValue00" localSheetId="1" hidden="1">"="</definedName>
    <definedName name="xdifAccountBudgetUpload" localSheetId="1" hidden="1">'{1} Template'!$B$9:$B$14</definedName>
    <definedName name="xdifAccountDetailBudgetUpload" localSheetId="1" hidden="1">"Row Headers"</definedName>
    <definedName name="xdifCategoryBudgetUpload" localSheetId="1" hidden="1">'{1} Template'!$B$5</definedName>
    <definedName name="xdifExcludeHiddenBudgetUpload" hidden="1">TRUE</definedName>
    <definedName name="xdifIsAccountCodeBudgetUpload" localSheetId="1" hidden="1">TRUE</definedName>
    <definedName name="xdifLocationBudgetUpload" localSheetId="1" hidden="1">'{1} Template'!$B$4</definedName>
    <definedName name="xdifPeriodBudgetUpload" localSheetId="1" hidden="1">'{1} Template'!$G$7:$R$7</definedName>
    <definedName name="xdifPeriodDetailBudgetUpload" localSheetId="1" hidden="1">"Column Headers"</definedName>
    <definedName name="xdifSelectedSheetsBudgetUpload" hidden="1">{"{1} Template"}</definedName>
    <definedName name="xdifSubsidiaryBudgetUpload" localSheetId="1" hidden="1">'{1} Template'!$G$4</definedName>
  </definedNames>
  <calcPr calcId="171027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4" i="1"/>
  <c r="B14" i="1"/>
  <c r="C13" i="1"/>
  <c r="B13" i="1"/>
  <c r="C12" i="1"/>
  <c r="B12" i="1"/>
  <c r="C11" i="1"/>
  <c r="B11" i="1"/>
  <c r="C10" i="1"/>
  <c r="B10" i="1"/>
  <c r="C9" i="1"/>
  <c r="B9" i="1"/>
  <c r="T7" i="1"/>
  <c r="E7" i="1"/>
  <c r="G1" i="1"/>
  <c r="H1" i="1" s="1"/>
  <c r="E24" i="1"/>
  <c r="E28" i="1"/>
  <c r="E21" i="1"/>
  <c r="E11" i="1"/>
  <c r="E22" i="1"/>
  <c r="E33" i="1"/>
  <c r="E38" i="1"/>
  <c r="E13" i="1"/>
  <c r="E9" i="1"/>
  <c r="E27" i="1"/>
  <c r="E19" i="1"/>
  <c r="E35" i="1"/>
  <c r="E25" i="1"/>
  <c r="E26" i="1"/>
  <c r="E36" i="1"/>
  <c r="E14" i="1"/>
  <c r="E30" i="1"/>
  <c r="E37" i="1"/>
  <c r="E20" i="1"/>
  <c r="E12" i="1"/>
  <c r="E10" i="1"/>
  <c r="E31" i="1"/>
  <c r="E32" i="1"/>
  <c r="E29" i="1"/>
  <c r="E23" i="1"/>
  <c r="E18" i="1"/>
  <c r="E34" i="1"/>
  <c r="J22" i="1" l="1"/>
  <c r="R22" i="1"/>
  <c r="I22" i="1"/>
  <c r="K22" i="1"/>
  <c r="P22" i="1"/>
  <c r="L22" i="1"/>
  <c r="H22" i="1"/>
  <c r="Q22" i="1"/>
  <c r="O22" i="1"/>
  <c r="N22" i="1"/>
  <c r="M22" i="1"/>
  <c r="G22" i="1"/>
  <c r="T22" i="1" s="1"/>
  <c r="G31" i="1"/>
  <c r="R31" i="1"/>
  <c r="Q31" i="1"/>
  <c r="P31" i="1"/>
  <c r="K31" i="1"/>
  <c r="O31" i="1"/>
  <c r="N31" i="1"/>
  <c r="M31" i="1"/>
  <c r="L31" i="1"/>
  <c r="J31" i="1"/>
  <c r="I31" i="1"/>
  <c r="H31" i="1"/>
  <c r="Q14" i="1"/>
  <c r="J14" i="1"/>
  <c r="P14" i="1"/>
  <c r="O14" i="1"/>
  <c r="M14" i="1"/>
  <c r="K14" i="1"/>
  <c r="R14" i="1"/>
  <c r="N14" i="1"/>
  <c r="L14" i="1"/>
  <c r="H14" i="1"/>
  <c r="G14" i="1"/>
  <c r="I14" i="1"/>
  <c r="O20" i="1"/>
  <c r="N20" i="1"/>
  <c r="R20" i="1"/>
  <c r="G20" i="1"/>
  <c r="T20" i="1" s="1"/>
  <c r="M20" i="1"/>
  <c r="K20" i="1"/>
  <c r="J20" i="1"/>
  <c r="H20" i="1"/>
  <c r="Q20" i="1"/>
  <c r="L20" i="1"/>
  <c r="P20" i="1"/>
  <c r="I20" i="1"/>
  <c r="K24" i="1"/>
  <c r="J24" i="1"/>
  <c r="Q24" i="1"/>
  <c r="N24" i="1"/>
  <c r="I24" i="1"/>
  <c r="P24" i="1"/>
  <c r="L24" i="1"/>
  <c r="H24" i="1"/>
  <c r="R24" i="1"/>
  <c r="G24" i="1"/>
  <c r="O24" i="1"/>
  <c r="M24" i="1"/>
  <c r="K34" i="1"/>
  <c r="J34" i="1"/>
  <c r="O34" i="1"/>
  <c r="R34" i="1"/>
  <c r="L34" i="1"/>
  <c r="I34" i="1"/>
  <c r="H34" i="1"/>
  <c r="Q34" i="1"/>
  <c r="P34" i="1"/>
  <c r="M34" i="1"/>
  <c r="G34" i="1"/>
  <c r="N34" i="1"/>
  <c r="G11" i="1"/>
  <c r="Q11" i="1"/>
  <c r="L11" i="1"/>
  <c r="J11" i="1"/>
  <c r="I11" i="1"/>
  <c r="H11" i="1"/>
  <c r="R11" i="1"/>
  <c r="N11" i="1"/>
  <c r="M11" i="1"/>
  <c r="P11" i="1"/>
  <c r="K11" i="1"/>
  <c r="O11" i="1"/>
  <c r="N27" i="1"/>
  <c r="R27" i="1"/>
  <c r="P27" i="1"/>
  <c r="O27" i="1"/>
  <c r="J27" i="1"/>
  <c r="I27" i="1"/>
  <c r="H27" i="1"/>
  <c r="G27" i="1"/>
  <c r="M27" i="1"/>
  <c r="L27" i="1"/>
  <c r="Q27" i="1"/>
  <c r="K27" i="1"/>
  <c r="Q9" i="1"/>
  <c r="Q16" i="1" s="1"/>
  <c r="P9" i="1"/>
  <c r="P16" i="1" s="1"/>
  <c r="K9" i="1"/>
  <c r="K16" i="1" s="1"/>
  <c r="G9" i="1"/>
  <c r="J9" i="1"/>
  <c r="H9" i="1"/>
  <c r="R9" i="1"/>
  <c r="O9" i="1"/>
  <c r="N9" i="1"/>
  <c r="E16" i="1"/>
  <c r="M9" i="1"/>
  <c r="L9" i="1"/>
  <c r="I9" i="1"/>
  <c r="M13" i="1"/>
  <c r="G13" i="1"/>
  <c r="Q13" i="1"/>
  <c r="L13" i="1"/>
  <c r="P13" i="1"/>
  <c r="K13" i="1"/>
  <c r="I13" i="1"/>
  <c r="J13" i="1"/>
  <c r="N13" i="1"/>
  <c r="R13" i="1"/>
  <c r="H13" i="1"/>
  <c r="O13" i="1"/>
  <c r="N32" i="1"/>
  <c r="M32" i="1"/>
  <c r="L32" i="1"/>
  <c r="H32" i="1"/>
  <c r="P32" i="1"/>
  <c r="G32" i="1"/>
  <c r="K32" i="1"/>
  <c r="J32" i="1"/>
  <c r="R32" i="1"/>
  <c r="Q32" i="1"/>
  <c r="O32" i="1"/>
  <c r="I32" i="1"/>
  <c r="R21" i="1"/>
  <c r="G21" i="1"/>
  <c r="Q21" i="1"/>
  <c r="N21" i="1"/>
  <c r="K21" i="1"/>
  <c r="P21" i="1"/>
  <c r="M21" i="1"/>
  <c r="L21" i="1"/>
  <c r="O21" i="1"/>
  <c r="J21" i="1"/>
  <c r="I21" i="1"/>
  <c r="H21" i="1"/>
  <c r="K29" i="1"/>
  <c r="N29" i="1"/>
  <c r="J29" i="1"/>
  <c r="Q29" i="1"/>
  <c r="I29" i="1"/>
  <c r="G29" i="1"/>
  <c r="H29" i="1"/>
  <c r="R29" i="1"/>
  <c r="M29" i="1"/>
  <c r="P29" i="1"/>
  <c r="O29" i="1"/>
  <c r="L29" i="1"/>
  <c r="I12" i="1"/>
  <c r="L12" i="1"/>
  <c r="J12" i="1"/>
  <c r="H12" i="1"/>
  <c r="G12" i="1"/>
  <c r="Q12" i="1"/>
  <c r="O12" i="1"/>
  <c r="R12" i="1"/>
  <c r="K12" i="1"/>
  <c r="P12" i="1"/>
  <c r="N12" i="1"/>
  <c r="M12" i="1"/>
  <c r="N37" i="1"/>
  <c r="K37" i="1"/>
  <c r="J37" i="1"/>
  <c r="H37" i="1"/>
  <c r="P37" i="1"/>
  <c r="M37" i="1"/>
  <c r="L37" i="1"/>
  <c r="R37" i="1"/>
  <c r="Q37" i="1"/>
  <c r="O37" i="1"/>
  <c r="I37" i="1"/>
  <c r="G37" i="1"/>
  <c r="J10" i="1"/>
  <c r="G10" i="1"/>
  <c r="K10" i="1"/>
  <c r="R10" i="1"/>
  <c r="Q10" i="1"/>
  <c r="H10" i="1"/>
  <c r="P10" i="1"/>
  <c r="N10" i="1"/>
  <c r="M10" i="1"/>
  <c r="L10" i="1"/>
  <c r="O10" i="1"/>
  <c r="I10" i="1"/>
  <c r="R36" i="1"/>
  <c r="K36" i="1"/>
  <c r="I36" i="1"/>
  <c r="H36" i="1"/>
  <c r="Q36" i="1"/>
  <c r="O36" i="1"/>
  <c r="M36" i="1"/>
  <c r="L36" i="1"/>
  <c r="J36" i="1"/>
  <c r="P36" i="1"/>
  <c r="N36" i="1"/>
  <c r="G36" i="1"/>
  <c r="O30" i="1"/>
  <c r="N30" i="1"/>
  <c r="H30" i="1"/>
  <c r="Q30" i="1"/>
  <c r="P30" i="1"/>
  <c r="M30" i="1"/>
  <c r="I30" i="1"/>
  <c r="G30" i="1"/>
  <c r="L30" i="1"/>
  <c r="K30" i="1"/>
  <c r="J30" i="1"/>
  <c r="R30" i="1"/>
  <c r="K19" i="1"/>
  <c r="J19" i="1"/>
  <c r="R19" i="1"/>
  <c r="O19" i="1"/>
  <c r="N19" i="1"/>
  <c r="I19" i="1"/>
  <c r="G19" i="1"/>
  <c r="L19" i="1"/>
  <c r="H19" i="1"/>
  <c r="P19" i="1"/>
  <c r="Q19" i="1"/>
  <c r="M19" i="1"/>
  <c r="O25" i="1"/>
  <c r="G25" i="1"/>
  <c r="N25" i="1"/>
  <c r="Q25" i="1"/>
  <c r="P25" i="1"/>
  <c r="M25" i="1"/>
  <c r="K25" i="1"/>
  <c r="L25" i="1"/>
  <c r="J25" i="1"/>
  <c r="I25" i="1"/>
  <c r="H25" i="1"/>
  <c r="R25" i="1"/>
  <c r="G23" i="1"/>
  <c r="H23" i="1"/>
  <c r="P23" i="1"/>
  <c r="J23" i="1"/>
  <c r="O23" i="1"/>
  <c r="M23" i="1"/>
  <c r="L23" i="1"/>
  <c r="N23" i="1"/>
  <c r="I23" i="1"/>
  <c r="R23" i="1"/>
  <c r="Q23" i="1"/>
  <c r="K23" i="1"/>
  <c r="G28" i="1"/>
  <c r="N28" i="1"/>
  <c r="J28" i="1"/>
  <c r="L28" i="1"/>
  <c r="P28" i="1"/>
  <c r="O28" i="1"/>
  <c r="M28" i="1"/>
  <c r="I28" i="1"/>
  <c r="H28" i="1"/>
  <c r="R28" i="1"/>
  <c r="Q28" i="1"/>
  <c r="K28" i="1"/>
  <c r="G38" i="1"/>
  <c r="M38" i="1"/>
  <c r="P38" i="1"/>
  <c r="O38" i="1"/>
  <c r="I38" i="1"/>
  <c r="N38" i="1"/>
  <c r="J38" i="1"/>
  <c r="L38" i="1"/>
  <c r="K38" i="1"/>
  <c r="H38" i="1"/>
  <c r="R38" i="1"/>
  <c r="Q38" i="1"/>
  <c r="L26" i="1"/>
  <c r="G26" i="1"/>
  <c r="R26" i="1"/>
  <c r="K26" i="1"/>
  <c r="H26" i="1"/>
  <c r="Q26" i="1"/>
  <c r="O26" i="1"/>
  <c r="M26" i="1"/>
  <c r="P26" i="1"/>
  <c r="N26" i="1"/>
  <c r="J26" i="1"/>
  <c r="I26" i="1"/>
  <c r="O35" i="1"/>
  <c r="N35" i="1"/>
  <c r="H35" i="1"/>
  <c r="R35" i="1"/>
  <c r="Q35" i="1"/>
  <c r="M35" i="1"/>
  <c r="P35" i="1"/>
  <c r="L35" i="1"/>
  <c r="G35" i="1"/>
  <c r="K35" i="1"/>
  <c r="J35" i="1"/>
  <c r="I35" i="1"/>
  <c r="G18" i="1"/>
  <c r="L18" i="1"/>
  <c r="J18" i="1"/>
  <c r="H18" i="1"/>
  <c r="P18" i="1"/>
  <c r="O18" i="1"/>
  <c r="E40" i="1"/>
  <c r="M18" i="1"/>
  <c r="K18" i="1"/>
  <c r="R18" i="1"/>
  <c r="Q18" i="1"/>
  <c r="N18" i="1"/>
  <c r="I18" i="1"/>
  <c r="G33" i="1"/>
  <c r="M33" i="1"/>
  <c r="H33" i="1"/>
  <c r="O33" i="1"/>
  <c r="L33" i="1"/>
  <c r="P33" i="1"/>
  <c r="N33" i="1"/>
  <c r="I33" i="1"/>
  <c r="R33" i="1"/>
  <c r="Q33" i="1"/>
  <c r="K33" i="1"/>
  <c r="J33" i="1"/>
  <c r="I1" i="1"/>
  <c r="H7" i="1"/>
  <c r="G7" i="1"/>
  <c r="T21" i="1" l="1"/>
  <c r="T11" i="1"/>
  <c r="I16" i="1"/>
  <c r="L16" i="1"/>
  <c r="O40" i="1"/>
  <c r="M16" i="1"/>
  <c r="P40" i="1"/>
  <c r="P42" i="1" s="1"/>
  <c r="T24" i="1"/>
  <c r="Q40" i="1"/>
  <c r="Q42" i="1" s="1"/>
  <c r="R40" i="1"/>
  <c r="R42" i="1" s="1"/>
  <c r="T29" i="1"/>
  <c r="K40" i="1"/>
  <c r="K42" i="1" s="1"/>
  <c r="T32" i="1"/>
  <c r="H40" i="1"/>
  <c r="T36" i="1"/>
  <c r="N16" i="1"/>
  <c r="N40" i="1"/>
  <c r="J40" i="1"/>
  <c r="T19" i="1"/>
  <c r="O16" i="1"/>
  <c r="O42" i="1" s="1"/>
  <c r="T35" i="1"/>
  <c r="T30" i="1"/>
  <c r="T27" i="1"/>
  <c r="T34" i="1"/>
  <c r="L40" i="1"/>
  <c r="T10" i="1"/>
  <c r="R16" i="1"/>
  <c r="I40" i="1"/>
  <c r="T13" i="1"/>
  <c r="M40" i="1"/>
  <c r="T23" i="1"/>
  <c r="T12" i="1"/>
  <c r="H16" i="1"/>
  <c r="T28" i="1"/>
  <c r="T37" i="1"/>
  <c r="J16" i="1"/>
  <c r="T33" i="1"/>
  <c r="T26" i="1"/>
  <c r="T14" i="1"/>
  <c r="T31" i="1"/>
  <c r="T25" i="1"/>
  <c r="T38" i="1"/>
  <c r="E42" i="1"/>
  <c r="G16" i="1"/>
  <c r="T9" i="1"/>
  <c r="T18" i="1"/>
  <c r="G40" i="1"/>
  <c r="I7" i="1"/>
  <c r="J1" i="1"/>
  <c r="E13" i="3"/>
  <c r="I42" i="1" l="1"/>
  <c r="M42" i="1"/>
  <c r="N42" i="1"/>
  <c r="H42" i="1"/>
  <c r="J42" i="1"/>
  <c r="T40" i="1"/>
  <c r="L42" i="1"/>
  <c r="K1" i="1"/>
  <c r="J7" i="1"/>
  <c r="G42" i="1"/>
  <c r="T16" i="1"/>
  <c r="T42" i="1" l="1"/>
  <c r="K7" i="1"/>
  <c r="L1" i="1"/>
  <c r="L7" i="1" l="1"/>
  <c r="M1" i="1"/>
  <c r="M7" i="1" l="1"/>
  <c r="N1" i="1"/>
  <c r="O1" i="1" l="1"/>
  <c r="N7" i="1"/>
  <c r="O7" i="1" l="1"/>
  <c r="P1" i="1"/>
  <c r="P7" i="1" l="1"/>
  <c r="Q1" i="1"/>
  <c r="R1" i="1" l="1"/>
  <c r="R7" i="1" s="1"/>
  <c r="Q7" i="1"/>
</calcChain>
</file>

<file path=xl/sharedStrings.xml><?xml version="1.0" encoding="utf-8"?>
<sst xmlns="http://schemas.openxmlformats.org/spreadsheetml/2006/main" count="57" uniqueCount="38">
  <si>
    <t>Honeycomb Manufacturing</t>
  </si>
  <si>
    <t/>
  </si>
  <si>
    <t>È</t>
  </si>
  <si>
    <t>Cell 1</t>
  </si>
  <si>
    <t>Workbook Name</t>
  </si>
  <si>
    <t>Email Address</t>
  </si>
  <si>
    <t>Automation Sheet</t>
  </si>
  <si>
    <t>This sheet is used to automate workbooks and worksheets as defined in the 'Define Automation' dialogue.</t>
  </si>
  <si>
    <t>Please complete each column below with the following information:</t>
  </si>
  <si>
    <t>Cell 1..n</t>
  </si>
  <si>
    <t>The combination of automation values</t>
  </si>
  <si>
    <t>The name given to the resulting workbook(s) (not required for printing).</t>
  </si>
  <si>
    <t>The recipient(s) email address(es), separated by semi colons (not required for printing or saving).</t>
  </si>
  <si>
    <t>Where a Workbook Name or Email Address is left blank, it's value will be taken from the previous row.</t>
  </si>
  <si>
    <t>- None -</t>
  </si>
  <si>
    <t>01: San Francisco</t>
  </si>
  <si>
    <t>02: Boston</t>
  </si>
  <si>
    <t>01: San Francisco : QA Hold</t>
  </si>
  <si>
    <t>01: San Francisco : Receiving Insp.</t>
  </si>
  <si>
    <t>Token 1</t>
  </si>
  <si>
    <t>None</t>
  </si>
  <si>
    <t>Boston</t>
  </si>
  <si>
    <t>Account</t>
  </si>
  <si>
    <t>Gross Margin</t>
  </si>
  <si>
    <t>Income</t>
  </si>
  <si>
    <t>Cost of Sales</t>
  </si>
  <si>
    <t>Enter Budget Values Below</t>
  </si>
  <si>
    <t>Boston.xlsx</t>
  </si>
  <si>
    <t>San Francisco.xlsx</t>
  </si>
  <si>
    <t>02: Boston : Overstock</t>
  </si>
  <si>
    <t>SF-QA</t>
  </si>
  <si>
    <t>SF-RI</t>
  </si>
  <si>
    <t>BO-OS</t>
  </si>
  <si>
    <t>San Francisco</t>
  </si>
  <si>
    <t>Forecast SM</t>
  </si>
  <si>
    <t>Token 2</t>
  </si>
  <si>
    <t>HH Inc. : Honeycomb USA</t>
  </si>
  <si>
    <t>phil.jose@solution7.co.uk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</si>
</sst>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);\(#,##0\);"/>
    <numFmt numFmtId="166" formatCode="#,##0_);\(#,##0\);\ ;"/>
    <numFmt numFmtId="167" formatCode="#,##0_);\(#,##0\);\-_)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14999847407452621"/>
      <name val="Wingdings 3"/>
      <family val="1"/>
      <charset val="2"/>
    </font>
    <font>
      <sz val="11"/>
      <color theme="0" tint="-0.14999847407452621"/>
      <name val="Calibri"/>
      <family val="2"/>
      <scheme val="minor"/>
    </font>
    <font>
      <sz val="20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 tint="-0.14999847407452621"/>
      <name val="Calibri"/>
      <family val="2"/>
      <scheme val="minor"/>
    </font>
    <font>
      <sz val="36"/>
      <color theme="1"/>
      <name val="Calibri"/>
      <family val="2"/>
      <scheme val="minor"/>
    </font>
    <font>
      <b/>
      <shadow/>
      <sz val="36"/>
      <color theme="0" tint="-0.1499984740745262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hadow/>
      <sz val="36"/>
      <color theme="0" tint="-0.34998626667073579"/>
      <name val="Calibri"/>
      <family val="2"/>
      <scheme val="minor"/>
    </font>
    <font>
      <b/>
      <sz val="20"/>
      <color theme="0" tint="-0.34998626667073579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indent="1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NumberFormat="1" applyFill="1" applyBorder="1" applyAlignment="1">
      <alignment horizontal="centerContinuous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5" fontId="0" fillId="0" borderId="0" xfId="0" applyNumberFormat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66" fontId="0" fillId="0" borderId="0" xfId="1" applyNumberFormat="1" applyFont="1" applyBorder="1" applyAlignment="1" applyProtection="1">
      <alignment vertical="center"/>
      <protection locked="0"/>
    </xf>
    <xf numFmtId="166" fontId="0" fillId="0" borderId="0" xfId="1" applyNumberFormat="1" applyFont="1" applyFill="1" applyBorder="1" applyAlignment="1" applyProtection="1">
      <alignment vertical="center"/>
      <protection locked="0"/>
    </xf>
    <xf numFmtId="166" fontId="0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0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3" xfId="1" applyNumberFormat="1" applyFont="1" applyBorder="1" applyAlignment="1" applyProtection="1">
      <alignment vertical="center"/>
      <protection locked="0"/>
    </xf>
    <xf numFmtId="166" fontId="0" fillId="0" borderId="4" xfId="1" applyNumberFormat="1" applyFont="1" applyBorder="1" applyAlignment="1" applyProtection="1">
      <alignment vertical="center"/>
      <protection locked="0"/>
    </xf>
    <xf numFmtId="166" fontId="0" fillId="0" borderId="5" xfId="1" applyNumberFormat="1" applyFont="1" applyBorder="1" applyAlignment="1" applyProtection="1">
      <alignment vertical="center"/>
      <protection locked="0"/>
    </xf>
    <xf numFmtId="166" fontId="0" fillId="0" borderId="8" xfId="1" applyNumberFormat="1" applyFont="1" applyBorder="1" applyAlignment="1">
      <alignment horizontal="right" vertical="center"/>
    </xf>
    <xf numFmtId="166" fontId="0" fillId="0" borderId="7" xfId="1" applyNumberFormat="1" applyFont="1" applyBorder="1" applyAlignment="1" applyProtection="1">
      <alignment vertical="center"/>
      <protection locked="0"/>
    </xf>
    <xf numFmtId="166" fontId="0" fillId="0" borderId="9" xfId="1" applyNumberFormat="1" applyFont="1" applyBorder="1" applyAlignment="1" applyProtection="1">
      <alignment vertical="center"/>
      <protection locked="0"/>
    </xf>
    <xf numFmtId="166" fontId="0" fillId="0" borderId="10" xfId="1" applyNumberFormat="1" applyFont="1" applyBorder="1" applyAlignment="1">
      <alignment horizontal="right" vertical="center"/>
    </xf>
    <xf numFmtId="166" fontId="0" fillId="0" borderId="12" xfId="1" applyNumberFormat="1" applyFont="1" applyBorder="1" applyAlignment="1" applyProtection="1">
      <alignment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166" fontId="0" fillId="0" borderId="13" xfId="1" applyNumberFormat="1" applyFont="1" applyBorder="1" applyAlignment="1" applyProtection="1">
      <alignment vertical="center"/>
      <protection locked="0"/>
    </xf>
    <xf numFmtId="166" fontId="0" fillId="0" borderId="11" xfId="1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1" fillId="0" borderId="0" xfId="0" quotePrefix="1" applyNumberFormat="1" applyFont="1" applyFill="1" applyBorder="1" applyAlignment="1">
      <alignment vertical="center"/>
    </xf>
    <xf numFmtId="0" fontId="0" fillId="0" borderId="0" xfId="0" applyBorder="1" applyAlignment="1">
      <alignment horizontal="left" indent="1"/>
    </xf>
    <xf numFmtId="49" fontId="8" fillId="0" borderId="0" xfId="0" applyNumberFormat="1" applyFont="1" applyBorder="1" applyAlignment="1">
      <alignment horizontal="left" vertical="center" indent="1"/>
    </xf>
    <xf numFmtId="0" fontId="0" fillId="0" borderId="0" xfId="0" applyNumberFormat="1" applyFont="1" applyBorder="1" applyAlignment="1">
      <alignment horizontal="left" vertical="center" indent="1"/>
    </xf>
    <xf numFmtId="0" fontId="1" fillId="2" borderId="14" xfId="0" quotePrefix="1" applyNumberFormat="1" applyFont="1" applyFill="1" applyBorder="1" applyAlignment="1">
      <alignment horizontal="left" vertical="center" indent="1"/>
    </xf>
    <xf numFmtId="166" fontId="0" fillId="0" borderId="4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9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0" fontId="10" fillId="0" borderId="0" xfId="0" applyFont="1" applyAlignment="1"/>
    <xf numFmtId="49" fontId="11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49" fontId="10" fillId="0" borderId="0" xfId="0" applyNumberFormat="1" applyFont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/>
    </xf>
    <xf numFmtId="49" fontId="10" fillId="0" borderId="0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center" vertical="center"/>
    </xf>
    <xf numFmtId="166" fontId="0" fillId="0" borderId="0" xfId="1" applyNumberFormat="1" applyFont="1" applyBorder="1" applyAlignment="1" applyProtection="1">
      <alignment vertical="center"/>
    </xf>
    <xf numFmtId="166" fontId="0" fillId="0" borderId="8" xfId="1" applyNumberFormat="1" applyFont="1" applyBorder="1" applyAlignment="1" applyProtection="1">
      <alignment vertical="center"/>
    </xf>
    <xf numFmtId="166" fontId="0" fillId="0" borderId="10" xfId="1" applyNumberFormat="1" applyFont="1" applyBorder="1" applyAlignment="1" applyProtection="1">
      <alignment vertical="center"/>
    </xf>
    <xf numFmtId="166" fontId="0" fillId="0" borderId="11" xfId="1" applyNumberFormat="1" applyFont="1" applyBorder="1" applyAlignment="1" applyProtection="1">
      <alignment vertical="center"/>
    </xf>
    <xf numFmtId="0" fontId="0" fillId="0" borderId="5" xfId="0" applyNumberFormat="1" applyFont="1" applyBorder="1" applyAlignment="1"/>
    <xf numFmtId="0" fontId="0" fillId="0" borderId="9" xfId="0" applyNumberFormat="1" applyFont="1" applyBorder="1" applyAlignment="1"/>
    <xf numFmtId="0" fontId="0" fillId="0" borderId="13" xfId="0" applyNumberFormat="1" applyFont="1" applyBorder="1" applyAlignment="1"/>
    <xf numFmtId="0" fontId="0" fillId="0" borderId="0" xfId="0" applyNumberFormat="1" applyFont="1" applyBorder="1" applyAlignment="1"/>
    <xf numFmtId="167" fontId="1" fillId="2" borderId="15" xfId="1" applyNumberFormat="1" applyFont="1" applyFill="1" applyBorder="1" applyAlignment="1" applyProtection="1">
      <alignment vertical="center"/>
    </xf>
    <xf numFmtId="167" fontId="1" fillId="0" borderId="0" xfId="1" applyNumberFormat="1" applyFont="1" applyFill="1" applyBorder="1" applyAlignment="1">
      <alignment vertical="center"/>
    </xf>
    <xf numFmtId="167" fontId="1" fillId="2" borderId="14" xfId="1" applyNumberFormat="1" applyFont="1" applyFill="1" applyBorder="1" applyAlignment="1">
      <alignment vertical="center"/>
    </xf>
    <xf numFmtId="167" fontId="1" fillId="2" borderId="6" xfId="1" applyNumberFormat="1" applyFont="1" applyFill="1" applyBorder="1" applyAlignment="1">
      <alignment horizontal="right" vertical="center"/>
    </xf>
    <xf numFmtId="0" fontId="1" fillId="2" borderId="6" xfId="0" quotePrefix="1" applyNumberFormat="1" applyFont="1" applyFill="1" applyBorder="1" applyAlignment="1"/>
    <xf numFmtId="0" fontId="9" fillId="0" borderId="0" xfId="2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center" vertical="center"/>
    </xf>
    <xf numFmtId="49" fontId="0" fillId="0" borderId="0" xfId="0" quotePrefix="1" applyNumberFormat="1" applyFont="1" applyBorder="1" applyAlignment="1">
      <alignment horizontal="left"/>
    </xf>
    <xf numFmtId="49" fontId="1" fillId="2" borderId="2" xfId="0" quotePrefix="1" applyNumberFormat="1" applyFont="1" applyFill="1" applyBorder="1" applyAlignment="1">
      <alignment horizontal="left"/>
    </xf>
    <xf numFmtId="0" fontId="0" fillId="0" borderId="3" xfId="0" applyNumberFormat="1" applyFont="1" applyBorder="1" applyAlignment="1">
      <alignment horizontal="left"/>
    </xf>
    <xf numFmtId="0" fontId="0" fillId="0" borderId="7" xfId="0" applyNumberFormat="1" applyFont="1" applyBorder="1" applyAlignment="1">
      <alignment horizontal="left"/>
    </xf>
    <xf numFmtId="0" fontId="0" fillId="0" borderId="12" xfId="0" applyNumberFormat="1" applyFont="1" applyBorder="1" applyAlignment="1">
      <alignment horizontal="left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  <xf numFmtId="0" fontId="9" fillId="0" borderId="0" xfId="2" applyAlignment="1" applyProtection="1">
      <protection locked="0"/>
    </xf>
    <xf numFmtId="0" fontId="9" fillId="0" borderId="0" xfId="2" applyAlignment="1" applyProtection="1">
      <alignment wrapText="1"/>
      <protection locked="0"/>
    </xf>
    <xf numFmtId="0" fontId="16" fillId="0" borderId="0" xfId="0" applyFont="1" applyAlignment="1">
      <alignment horizontal="center" vertical="center"/>
    </xf>
    <xf numFmtId="49" fontId="15" fillId="0" borderId="0" xfId="0" quotePrefix="1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49" fontId="15" fillId="0" borderId="0" xfId="0" quotePrefix="1" applyNumberFormat="1" applyFont="1" applyBorder="1" applyAlignment="1">
      <alignment horizontal="left"/>
    </xf>
    <xf numFmtId="49" fontId="13" fillId="0" borderId="0" xfId="0" quotePrefix="1" applyNumberFormat="1" applyFont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460528</xdr:colOff>
      <xdr:row>2</xdr:row>
      <xdr:rowOff>221814</xdr:rowOff>
    </xdr:from>
    <xdr:to>
      <xdr:col>19</xdr:col>
      <xdr:colOff>809200</xdr:colOff>
      <xdr:row>4</xdr:row>
      <xdr:rowOff>65240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2DF7BF-68F7-4B3B-B2C3-A1FE6D17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1898" y="287054"/>
          <a:ext cx="2071001" cy="769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il.jose@solution7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30" zoomScaleNormal="130" workbookViewId="0">
      <pane ySplit="12" topLeftCell="A13" activePane="bottomLeft" state="frozen"/>
      <selection pane="bottomLeft" activeCell="C13" sqref="C13"/>
    </sheetView>
  </sheetViews>
  <sheetFormatPr defaultColWidth="9.140625" defaultRowHeight="15" x14ac:dyDescent="0.25"/>
  <cols>
    <col min="1" max="1" width="31.140625" style="11" bestFit="1" customWidth="1"/>
    <col min="2" max="2" width="27.7109375" style="11" bestFit="1" customWidth="1"/>
    <col min="3" max="3" width="60.5703125" style="99" customWidth="1"/>
    <col min="4" max="4" width="17.85546875" style="11" customWidth="1"/>
    <col min="5" max="16384" width="9.140625" style="11"/>
  </cols>
  <sheetData>
    <row r="1" spans="1:5" ht="26.25" x14ac:dyDescent="0.4">
      <c r="A1" s="10" t="s">
        <v>6</v>
      </c>
    </row>
    <row r="3" spans="1:5" x14ac:dyDescent="0.25">
      <c r="A3" s="11" t="s">
        <v>7</v>
      </c>
    </row>
    <row r="4" spans="1:5" x14ac:dyDescent="0.25">
      <c r="A4" s="11" t="s">
        <v>8</v>
      </c>
    </row>
    <row r="6" spans="1:5" x14ac:dyDescent="0.25">
      <c r="A6" s="12" t="s">
        <v>9</v>
      </c>
      <c r="B6" s="11" t="s">
        <v>10</v>
      </c>
    </row>
    <row r="7" spans="1:5" x14ac:dyDescent="0.25">
      <c r="A7" s="12" t="s">
        <v>4</v>
      </c>
      <c r="B7" s="11" t="s">
        <v>11</v>
      </c>
    </row>
    <row r="8" spans="1:5" x14ac:dyDescent="0.25">
      <c r="A8" s="12" t="s">
        <v>5</v>
      </c>
      <c r="B8" s="11" t="s">
        <v>12</v>
      </c>
    </row>
    <row r="10" spans="1:5" x14ac:dyDescent="0.25">
      <c r="A10" s="11" t="s">
        <v>13</v>
      </c>
    </row>
    <row r="12" spans="1:5" s="12" customFormat="1" x14ac:dyDescent="0.25">
      <c r="A12" s="12" t="s">
        <v>3</v>
      </c>
      <c r="B12" s="12" t="s">
        <v>4</v>
      </c>
      <c r="C12" s="100" t="s">
        <v>5</v>
      </c>
      <c r="D12" s="12" t="s">
        <v>19</v>
      </c>
      <c r="E12" s="12" t="s">
        <v>35</v>
      </c>
    </row>
    <row r="13" spans="1:5" ht="15" customHeight="1" x14ac:dyDescent="0.25">
      <c r="A13" s="13" t="s">
        <v>14</v>
      </c>
      <c r="B13" s="11" t="s">
        <v>28</v>
      </c>
      <c r="C13" s="102" t="s">
        <v>37</v>
      </c>
      <c r="D13" s="11" t="s">
        <v>20</v>
      </c>
      <c r="E13" s="11">
        <f>'{1} Template'!$B$3</f>
        <v>2018</v>
      </c>
    </row>
    <row r="14" spans="1:5" x14ac:dyDescent="0.25">
      <c r="A14" s="13" t="s">
        <v>15</v>
      </c>
      <c r="D14" s="11" t="s">
        <v>33</v>
      </c>
    </row>
    <row r="15" spans="1:5" x14ac:dyDescent="0.25">
      <c r="A15" s="13" t="s">
        <v>17</v>
      </c>
      <c r="D15" s="11" t="s">
        <v>30</v>
      </c>
    </row>
    <row r="16" spans="1:5" x14ac:dyDescent="0.25">
      <c r="A16" s="13" t="s">
        <v>18</v>
      </c>
      <c r="D16" s="11" t="s">
        <v>31</v>
      </c>
    </row>
    <row r="17" spans="1:4" x14ac:dyDescent="0.25">
      <c r="A17" s="13" t="s">
        <v>16</v>
      </c>
      <c r="B17" s="11" t="s">
        <v>27</v>
      </c>
      <c r="C17" s="87"/>
      <c r="D17" s="11" t="s">
        <v>21</v>
      </c>
    </row>
    <row r="18" spans="1:4" x14ac:dyDescent="0.25">
      <c r="A18" s="11" t="s">
        <v>29</v>
      </c>
      <c r="C18" s="101"/>
      <c r="D18" s="11" t="s">
        <v>32</v>
      </c>
    </row>
  </sheetData>
  <sheetProtection sheet="1" formatCells="0" formatColumns="0" formatRows="0" insertColumns="0" insertRows="0" insertHyperlinks="0" deleteRows="0" sort="0" autoFilter="0" pivotTables="0"/>
  <dataValidations count="1">
    <dataValidation type="list" errorStyle="warning" operator="equal" allowBlank="1" showInputMessage="1" showErrorMessage="1" sqref="A12:XFD12">
      <formula1>"Cell 1, Workbook Name, Email Address, Token 1, Token 2, Token 3, Token 4, Token 5, Token 6, Token 7, Token 8, Token 9"</formula1>
    </dataValidation>
  </dataValidations>
  <hyperlinks>
    <hyperlink ref="C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tabSelected="1" zoomScale="85" zoomScaleNormal="85" workbookViewId="0">
      <selection activeCell="B4" sqref="B4:C4"/>
    </sheetView>
  </sheetViews>
  <sheetFormatPr defaultColWidth="0" defaultRowHeight="15" zeroHeight="1" x14ac:dyDescent="0.25"/>
  <cols>
    <col min="1" max="1" width="7.28515625" customWidth="1"/>
    <col min="2" max="2" width="6.42578125" style="88" customWidth="1"/>
    <col min="3" max="3" width="37.28515625" style="51" customWidth="1"/>
    <col min="4" max="4" width="1.85546875" style="14" customWidth="1"/>
    <col min="5" max="5" width="16.7109375" style="69" customWidth="1"/>
    <col min="6" max="6" width="1.7109375" style="14" customWidth="1"/>
    <col min="7" max="18" width="12.140625" customWidth="1"/>
    <col min="19" max="19" width="1.5703125" style="23" customWidth="1"/>
    <col min="20" max="20" width="15.5703125" style="2" customWidth="1"/>
    <col min="21" max="21" width="7.85546875" customWidth="1"/>
    <col min="22" max="24" width="0" hidden="1" customWidth="1"/>
    <col min="25" max="16384" width="9.140625" hidden="1"/>
  </cols>
  <sheetData>
    <row r="1" spans="1:20" ht="15" customHeight="1" x14ac:dyDescent="0.25">
      <c r="G1" s="1">
        <f>DATE(B3,1,1)</f>
        <v>43101</v>
      </c>
      <c r="H1" s="1">
        <f>EDATE(G1,1)</f>
        <v>43132</v>
      </c>
      <c r="I1" s="1">
        <f>EDATE(H1,1)</f>
        <v>43160</v>
      </c>
      <c r="J1" s="1">
        <f>EDATE(I1,1)</f>
        <v>43191</v>
      </c>
      <c r="K1" s="1">
        <f t="shared" ref="K1:R1" si="0">EDATE(J1,1)</f>
        <v>43221</v>
      </c>
      <c r="L1" s="1">
        <f t="shared" si="0"/>
        <v>43252</v>
      </c>
      <c r="M1" s="1">
        <f t="shared" si="0"/>
        <v>43282</v>
      </c>
      <c r="N1" s="1">
        <f t="shared" si="0"/>
        <v>43313</v>
      </c>
      <c r="O1" s="1">
        <f t="shared" si="0"/>
        <v>43344</v>
      </c>
      <c r="P1" s="1">
        <f t="shared" si="0"/>
        <v>43374</v>
      </c>
      <c r="Q1" s="1">
        <f t="shared" si="0"/>
        <v>43405</v>
      </c>
      <c r="R1" s="1">
        <f t="shared" si="0"/>
        <v>43435</v>
      </c>
      <c r="S1" s="22"/>
    </row>
    <row r="2" spans="1:20" ht="5.25" customHeight="1" x14ac:dyDescent="0.25"/>
    <row r="3" spans="1:20" ht="45.75" customHeight="1" x14ac:dyDescent="0.25">
      <c r="B3" s="106">
        <v>2018</v>
      </c>
      <c r="C3" s="106"/>
      <c r="D3" s="15"/>
      <c r="G3" s="105" t="s">
        <v>0</v>
      </c>
      <c r="H3" s="105"/>
      <c r="I3" s="105"/>
      <c r="J3" s="105"/>
      <c r="K3" s="105"/>
      <c r="L3" s="105"/>
      <c r="M3" s="105"/>
      <c r="N3" s="105"/>
      <c r="O3" s="105"/>
      <c r="P3" s="105"/>
      <c r="Q3" s="3"/>
      <c r="R3" s="3"/>
      <c r="S3" s="24"/>
      <c r="T3" s="4"/>
    </row>
    <row r="4" spans="1:20" s="5" customFormat="1" ht="27" customHeight="1" x14ac:dyDescent="0.5">
      <c r="B4" s="107" t="s">
        <v>15</v>
      </c>
      <c r="C4" s="107"/>
      <c r="D4" s="16"/>
      <c r="E4" s="70"/>
      <c r="F4" s="18"/>
      <c r="G4" s="104" t="s">
        <v>36</v>
      </c>
      <c r="H4" s="104"/>
      <c r="I4" s="104"/>
      <c r="J4" s="104"/>
      <c r="K4" s="104"/>
      <c r="L4" s="104"/>
      <c r="M4" s="104"/>
      <c r="N4" s="104"/>
      <c r="O4" s="104"/>
      <c r="P4" s="104"/>
      <c r="Q4" s="6"/>
      <c r="R4" s="6"/>
      <c r="S4" s="25"/>
      <c r="T4" s="7"/>
    </row>
    <row r="5" spans="1:20" s="62" customFormat="1" ht="46.5" x14ac:dyDescent="0.7">
      <c r="B5" s="108" t="s">
        <v>34</v>
      </c>
      <c r="C5" s="108"/>
      <c r="D5" s="63"/>
      <c r="E5" s="71"/>
      <c r="F5" s="64"/>
      <c r="G5" s="103" t="s">
        <v>26</v>
      </c>
      <c r="H5" s="103"/>
      <c r="I5" s="103"/>
      <c r="J5" s="103"/>
      <c r="K5" s="103"/>
      <c r="L5" s="103"/>
      <c r="M5" s="103"/>
      <c r="N5" s="103"/>
      <c r="O5" s="103"/>
      <c r="P5" s="103"/>
      <c r="Q5" s="92"/>
      <c r="R5" s="92"/>
      <c r="S5" s="65"/>
      <c r="T5" s="66"/>
    </row>
    <row r="6" spans="1:20" s="8" customFormat="1" ht="26.25" x14ac:dyDescent="0.25">
      <c r="B6" s="89"/>
      <c r="C6" s="52" t="s">
        <v>1</v>
      </c>
      <c r="D6" s="17"/>
      <c r="E6" s="72"/>
      <c r="F6" s="17"/>
      <c r="G6" s="93" t="s">
        <v>2</v>
      </c>
      <c r="H6" s="93" t="s">
        <v>2</v>
      </c>
      <c r="I6" s="93" t="s">
        <v>2</v>
      </c>
      <c r="J6" s="93" t="s">
        <v>2</v>
      </c>
      <c r="K6" s="93" t="s">
        <v>2</v>
      </c>
      <c r="L6" s="93" t="s">
        <v>2</v>
      </c>
      <c r="M6" s="93" t="s">
        <v>2</v>
      </c>
      <c r="N6" s="93" t="s">
        <v>2</v>
      </c>
      <c r="O6" s="93" t="s">
        <v>2</v>
      </c>
      <c r="P6" s="93" t="s">
        <v>2</v>
      </c>
      <c r="Q6" s="93" t="s">
        <v>2</v>
      </c>
      <c r="R6" s="93" t="s">
        <v>2</v>
      </c>
      <c r="S6" s="26"/>
      <c r="T6" s="9"/>
    </row>
    <row r="7" spans="1:20" s="27" customFormat="1" ht="22.5" customHeight="1" x14ac:dyDescent="0.25">
      <c r="B7" s="67"/>
      <c r="C7" s="21" t="s">
        <v>22</v>
      </c>
      <c r="D7" s="28"/>
      <c r="E7" s="73" t="str">
        <f>B3-1 &amp;" Actuals"</f>
        <v>2017 Actuals</v>
      </c>
      <c r="F7" s="19"/>
      <c r="G7" s="67" t="str">
        <f t="shared" ref="G7:R7" si="1">TEXT(G1, "mmm yyyy")</f>
        <v>Jan 2018</v>
      </c>
      <c r="H7" s="68" t="str">
        <f t="shared" si="1"/>
        <v>Feb 2018</v>
      </c>
      <c r="I7" s="68" t="str">
        <f t="shared" si="1"/>
        <v>Mar 2018</v>
      </c>
      <c r="J7" s="68" t="str">
        <f t="shared" si="1"/>
        <v>Apr 2018</v>
      </c>
      <c r="K7" s="68" t="str">
        <f t="shared" si="1"/>
        <v>May 2018</v>
      </c>
      <c r="L7" s="68" t="str">
        <f t="shared" si="1"/>
        <v>Jun 2018</v>
      </c>
      <c r="M7" s="68" t="str">
        <f t="shared" si="1"/>
        <v>Jul 2018</v>
      </c>
      <c r="N7" s="68" t="str">
        <f t="shared" si="1"/>
        <v>Aug 2018</v>
      </c>
      <c r="O7" s="68" t="str">
        <f t="shared" si="1"/>
        <v>Sep 2018</v>
      </c>
      <c r="P7" s="68" t="str">
        <f t="shared" si="1"/>
        <v>Oct 2018</v>
      </c>
      <c r="Q7" s="68" t="str">
        <f t="shared" si="1"/>
        <v>Nov 2018</v>
      </c>
      <c r="R7" s="68" t="str">
        <f t="shared" si="1"/>
        <v>Dec 2018</v>
      </c>
      <c r="S7" s="19"/>
      <c r="T7" s="20" t="str">
        <f>B3&amp;" Total"</f>
        <v>2018 Total</v>
      </c>
    </row>
    <row r="8" spans="1:20" s="36" customFormat="1" ht="9" customHeight="1" x14ac:dyDescent="0.25">
      <c r="A8" s="29"/>
      <c r="B8" s="90"/>
      <c r="C8" s="53"/>
      <c r="D8" s="30"/>
      <c r="E8" s="74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  <c r="T8" s="35"/>
    </row>
    <row r="9" spans="1:20" s="5" customFormat="1" ht="18.75" customHeight="1" x14ac:dyDescent="0.25">
      <c r="A9" s="37"/>
      <c r="B9" s="96" t="str">
        <f>IF(TRUE,"4000","LI(0,0)")</f>
        <v>4000</v>
      </c>
      <c r="C9" s="78" t="str">
        <f>IF(TRUE,"Sales","LI(0,1)")</f>
        <v>Sales</v>
      </c>
      <c r="D9" s="30"/>
      <c r="E9" s="75">
        <f>-_xll.NSGLABAL($G$4,$B9,"Jan " &amp; $B$3-1,"Dec " &amp; $B$3-1,,,$B$4)</f>
        <v>994838.89</v>
      </c>
      <c r="F9" s="32"/>
      <c r="G9" s="38">
        <f>$E9/12*1.03</f>
        <v>85390.338058333335</v>
      </c>
      <c r="H9" s="39">
        <f t="shared" ref="H9:R14" si="2">$E9/12*1.03</f>
        <v>85390.338058333335</v>
      </c>
      <c r="I9" s="39">
        <f t="shared" si="2"/>
        <v>85390.338058333335</v>
      </c>
      <c r="J9" s="39">
        <f t="shared" si="2"/>
        <v>85390.338058333335</v>
      </c>
      <c r="K9" s="39">
        <f t="shared" si="2"/>
        <v>85390.338058333335</v>
      </c>
      <c r="L9" s="39">
        <f t="shared" si="2"/>
        <v>85390.338058333335</v>
      </c>
      <c r="M9" s="39">
        <f t="shared" si="2"/>
        <v>85390.338058333335</v>
      </c>
      <c r="N9" s="39">
        <f t="shared" si="2"/>
        <v>85390.338058333335</v>
      </c>
      <c r="O9" s="39">
        <f t="shared" si="2"/>
        <v>85390.338058333335</v>
      </c>
      <c r="P9" s="39">
        <f t="shared" si="2"/>
        <v>85390.338058333335</v>
      </c>
      <c r="Q9" s="39">
        <f t="shared" si="2"/>
        <v>85390.338058333335</v>
      </c>
      <c r="R9" s="40">
        <f t="shared" si="2"/>
        <v>85390.338058333335</v>
      </c>
      <c r="S9" s="32"/>
      <c r="T9" s="41">
        <f t="shared" ref="T9:T14" si="3">SUM(G9:R9)</f>
        <v>1024684.0567000002</v>
      </c>
    </row>
    <row r="10" spans="1:20" s="5" customFormat="1" ht="18.75" customHeight="1" x14ac:dyDescent="0.25">
      <c r="A10" s="37"/>
      <c r="B10" s="97" t="str">
        <f>IF(TRUE,"4002","LI(1,0)")</f>
        <v>4002</v>
      </c>
      <c r="C10" s="79" t="str">
        <f>IF(TRUE,"Sales - Merchandise","LI(1,1)")</f>
        <v>Sales - Merchandise</v>
      </c>
      <c r="D10" s="30"/>
      <c r="E10" s="76">
        <f>-_xll.NSGLABAL($G$4,$B10,"Jan " &amp; $B$3-1,"Dec " &amp; $B$3-1,,,$B$4)</f>
        <v>724753.1</v>
      </c>
      <c r="F10" s="32"/>
      <c r="G10" s="42">
        <f t="shared" ref="G10:G14" si="4">$E10/12*1.03</f>
        <v>62207.974416666671</v>
      </c>
      <c r="H10" s="31">
        <f t="shared" si="2"/>
        <v>62207.974416666671</v>
      </c>
      <c r="I10" s="31">
        <f t="shared" si="2"/>
        <v>62207.974416666671</v>
      </c>
      <c r="J10" s="31">
        <f t="shared" si="2"/>
        <v>62207.974416666671</v>
      </c>
      <c r="K10" s="31">
        <f t="shared" si="2"/>
        <v>62207.974416666671</v>
      </c>
      <c r="L10" s="31">
        <f t="shared" si="2"/>
        <v>62207.974416666671</v>
      </c>
      <c r="M10" s="31">
        <f t="shared" si="2"/>
        <v>62207.974416666671</v>
      </c>
      <c r="N10" s="31">
        <f t="shared" si="2"/>
        <v>62207.974416666671</v>
      </c>
      <c r="O10" s="31">
        <f t="shared" si="2"/>
        <v>62207.974416666671</v>
      </c>
      <c r="P10" s="31">
        <f t="shared" si="2"/>
        <v>62207.974416666671</v>
      </c>
      <c r="Q10" s="31">
        <f t="shared" si="2"/>
        <v>62207.974416666671</v>
      </c>
      <c r="R10" s="43">
        <f t="shared" si="2"/>
        <v>62207.974416666671</v>
      </c>
      <c r="S10" s="32"/>
      <c r="T10" s="44">
        <f t="shared" si="3"/>
        <v>746495.69300000009</v>
      </c>
    </row>
    <row r="11" spans="1:20" s="5" customFormat="1" ht="18.75" customHeight="1" x14ac:dyDescent="0.25">
      <c r="A11" s="37"/>
      <c r="B11" s="97" t="str">
        <f>IF(TRUE,"4004","LI(2,0)")</f>
        <v>4004</v>
      </c>
      <c r="C11" s="79" t="str">
        <f>IF(TRUE,"Sales - Service","LI(2,1)")</f>
        <v>Sales - Service</v>
      </c>
      <c r="D11" s="30"/>
      <c r="E11" s="76">
        <f>-_xll.NSGLABAL($G$4,$B11,"Jan " &amp; $B$3-1,"Dec " &amp; $B$3-1,,,$B$4)</f>
        <v>58305.7</v>
      </c>
      <c r="F11" s="32"/>
      <c r="G11" s="42">
        <f t="shared" si="4"/>
        <v>5004.5725833333336</v>
      </c>
      <c r="H11" s="31">
        <f t="shared" si="2"/>
        <v>5004.5725833333336</v>
      </c>
      <c r="I11" s="31">
        <f t="shared" si="2"/>
        <v>5004.5725833333336</v>
      </c>
      <c r="J11" s="31">
        <f t="shared" si="2"/>
        <v>5004.5725833333336</v>
      </c>
      <c r="K11" s="31">
        <f t="shared" si="2"/>
        <v>5004.5725833333336</v>
      </c>
      <c r="L11" s="31">
        <f t="shared" si="2"/>
        <v>5004.5725833333336</v>
      </c>
      <c r="M11" s="31">
        <f t="shared" si="2"/>
        <v>5004.5725833333336</v>
      </c>
      <c r="N11" s="31">
        <f t="shared" si="2"/>
        <v>5004.5725833333336</v>
      </c>
      <c r="O11" s="31">
        <f t="shared" si="2"/>
        <v>5004.5725833333336</v>
      </c>
      <c r="P11" s="31">
        <f t="shared" si="2"/>
        <v>5004.5725833333336</v>
      </c>
      <c r="Q11" s="31">
        <f t="shared" si="2"/>
        <v>5004.5725833333336</v>
      </c>
      <c r="R11" s="43">
        <f t="shared" si="2"/>
        <v>5004.5725833333336</v>
      </c>
      <c r="S11" s="32"/>
      <c r="T11" s="44">
        <f t="shared" si="3"/>
        <v>60054.871000000006</v>
      </c>
    </row>
    <row r="12" spans="1:20" s="5" customFormat="1" ht="18.75" customHeight="1" x14ac:dyDescent="0.25">
      <c r="A12" s="37"/>
      <c r="B12" s="97" t="str">
        <f>IF(TRUE,"4006","LI(3,0)")</f>
        <v>4006</v>
      </c>
      <c r="C12" s="79" t="str">
        <f>IF(TRUE,"Sales - Clearance","LI(3,1)")</f>
        <v>Sales - Clearance</v>
      </c>
      <c r="D12" s="30"/>
      <c r="E12" s="76">
        <f>-_xll.NSGLABAL($G$4,$B12,"Jan " &amp; $B$3-1,"Dec " &amp; $B$3-1,,,$B$4)</f>
        <v>0</v>
      </c>
      <c r="F12" s="32"/>
      <c r="G12" s="42">
        <f t="shared" si="4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  <c r="P12" s="31">
        <f t="shared" si="2"/>
        <v>0</v>
      </c>
      <c r="Q12" s="31">
        <f t="shared" si="2"/>
        <v>0</v>
      </c>
      <c r="R12" s="43">
        <f t="shared" si="2"/>
        <v>0</v>
      </c>
      <c r="S12" s="32"/>
      <c r="T12" s="44">
        <f t="shared" si="3"/>
        <v>0</v>
      </c>
    </row>
    <row r="13" spans="1:20" s="5" customFormat="1" ht="18.75" customHeight="1" x14ac:dyDescent="0.25">
      <c r="A13" s="37"/>
      <c r="B13" s="97" t="str">
        <f>IF(TRUE,"4008","LI(4,0)")</f>
        <v>4008</v>
      </c>
      <c r="C13" s="79" t="str">
        <f>IF(TRUE,"Sales - Warranty","LI(4,1)")</f>
        <v>Sales - Warranty</v>
      </c>
      <c r="D13" s="30"/>
      <c r="E13" s="76">
        <f>-_xll.NSGLABAL($G$4,$B13,"Jan " &amp; $B$3-1,"Dec " &amp; $B$3-1,,,$B$4)</f>
        <v>23880</v>
      </c>
      <c r="F13" s="32"/>
      <c r="G13" s="42">
        <f t="shared" si="4"/>
        <v>2049.7000000000003</v>
      </c>
      <c r="H13" s="31">
        <f t="shared" si="2"/>
        <v>2049.7000000000003</v>
      </c>
      <c r="I13" s="31">
        <f t="shared" si="2"/>
        <v>2049.7000000000003</v>
      </c>
      <c r="J13" s="31">
        <f t="shared" si="2"/>
        <v>2049.7000000000003</v>
      </c>
      <c r="K13" s="31">
        <f t="shared" si="2"/>
        <v>2049.7000000000003</v>
      </c>
      <c r="L13" s="31">
        <f t="shared" si="2"/>
        <v>2049.7000000000003</v>
      </c>
      <c r="M13" s="31">
        <f t="shared" si="2"/>
        <v>2049.7000000000003</v>
      </c>
      <c r="N13" s="31">
        <f t="shared" si="2"/>
        <v>2049.7000000000003</v>
      </c>
      <c r="O13" s="31">
        <f t="shared" si="2"/>
        <v>2049.7000000000003</v>
      </c>
      <c r="P13" s="31">
        <f t="shared" si="2"/>
        <v>2049.7000000000003</v>
      </c>
      <c r="Q13" s="31">
        <f t="shared" si="2"/>
        <v>2049.7000000000003</v>
      </c>
      <c r="R13" s="43">
        <f t="shared" si="2"/>
        <v>2049.7000000000003</v>
      </c>
      <c r="S13" s="32"/>
      <c r="T13" s="44">
        <f t="shared" si="3"/>
        <v>24596.400000000005</v>
      </c>
    </row>
    <row r="14" spans="1:20" s="5" customFormat="1" ht="18.75" customHeight="1" x14ac:dyDescent="0.25">
      <c r="A14" s="37"/>
      <c r="B14" s="98" t="str">
        <f>IF(TRUE,"4100","LI(5,0)")</f>
        <v>4100</v>
      </c>
      <c r="C14" s="80" t="str">
        <f>IF(TRUE,"WIP eRev","LI(5,1)")</f>
        <v>WIP eRev</v>
      </c>
      <c r="D14" s="30"/>
      <c r="E14" s="77">
        <f>-_xll.NSGLABAL($G$4,$B14,"Jan " &amp; $B$3-1,"Dec " &amp; $B$3-1,,,$B$4)</f>
        <v>0</v>
      </c>
      <c r="F14" s="32"/>
      <c r="G14" s="45">
        <f t="shared" si="4"/>
        <v>0</v>
      </c>
      <c r="H14" s="46">
        <f t="shared" si="2"/>
        <v>0</v>
      </c>
      <c r="I14" s="46">
        <f t="shared" si="2"/>
        <v>0</v>
      </c>
      <c r="J14" s="46">
        <f t="shared" si="2"/>
        <v>0</v>
      </c>
      <c r="K14" s="46">
        <f t="shared" si="2"/>
        <v>0</v>
      </c>
      <c r="L14" s="46">
        <f t="shared" si="2"/>
        <v>0</v>
      </c>
      <c r="M14" s="46">
        <f t="shared" si="2"/>
        <v>0</v>
      </c>
      <c r="N14" s="46">
        <f t="shared" si="2"/>
        <v>0</v>
      </c>
      <c r="O14" s="46">
        <f t="shared" si="2"/>
        <v>0</v>
      </c>
      <c r="P14" s="46">
        <f t="shared" si="2"/>
        <v>0</v>
      </c>
      <c r="Q14" s="46">
        <f t="shared" si="2"/>
        <v>0</v>
      </c>
      <c r="R14" s="47">
        <f t="shared" si="2"/>
        <v>0</v>
      </c>
      <c r="S14" s="32"/>
      <c r="T14" s="48">
        <f t="shared" si="3"/>
        <v>0</v>
      </c>
    </row>
    <row r="15" spans="1:20" s="36" customFormat="1" ht="9" customHeight="1" x14ac:dyDescent="0.25">
      <c r="A15" s="29"/>
      <c r="B15" s="94" t="s">
        <v>1</v>
      </c>
      <c r="C15" s="81"/>
      <c r="D15" s="30"/>
      <c r="E15" s="74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35"/>
    </row>
    <row r="16" spans="1:20" s="27" customFormat="1" ht="22.5" customHeight="1" x14ac:dyDescent="0.25">
      <c r="A16" s="49"/>
      <c r="B16" s="95" t="s">
        <v>1</v>
      </c>
      <c r="C16" s="86" t="s">
        <v>24</v>
      </c>
      <c r="D16" s="50"/>
      <c r="E16" s="82">
        <f>SUM(E9:E14)</f>
        <v>1801777.69</v>
      </c>
      <c r="F16" s="83"/>
      <c r="G16" s="84">
        <f t="shared" ref="G16:R16" si="5">SUM(G9:G14)</f>
        <v>154652.58505833335</v>
      </c>
      <c r="H16" s="84">
        <f t="shared" si="5"/>
        <v>154652.58505833335</v>
      </c>
      <c r="I16" s="84">
        <f t="shared" si="5"/>
        <v>154652.58505833335</v>
      </c>
      <c r="J16" s="84">
        <f t="shared" si="5"/>
        <v>154652.58505833335</v>
      </c>
      <c r="K16" s="84">
        <f t="shared" si="5"/>
        <v>154652.58505833335</v>
      </c>
      <c r="L16" s="84">
        <f t="shared" si="5"/>
        <v>154652.58505833335</v>
      </c>
      <c r="M16" s="84">
        <f t="shared" si="5"/>
        <v>154652.58505833335</v>
      </c>
      <c r="N16" s="84">
        <f t="shared" si="5"/>
        <v>154652.58505833335</v>
      </c>
      <c r="O16" s="84">
        <f t="shared" si="5"/>
        <v>154652.58505833335</v>
      </c>
      <c r="P16" s="84">
        <f t="shared" si="5"/>
        <v>154652.58505833335</v>
      </c>
      <c r="Q16" s="84">
        <f t="shared" si="5"/>
        <v>154652.58505833335</v>
      </c>
      <c r="R16" s="84">
        <f t="shared" si="5"/>
        <v>154652.58505833335</v>
      </c>
      <c r="S16" s="83"/>
      <c r="T16" s="85">
        <f>SUM(G16:R16)</f>
        <v>1855831.0207000002</v>
      </c>
    </row>
    <row r="17" spans="1:20" s="36" customFormat="1" ht="9" customHeight="1" x14ac:dyDescent="0.25">
      <c r="A17" s="29"/>
      <c r="B17" s="94" t="s">
        <v>1</v>
      </c>
      <c r="C17" s="81"/>
      <c r="D17" s="30"/>
      <c r="E17" s="74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4"/>
      <c r="T17" s="35"/>
    </row>
    <row r="18" spans="1:20" s="5" customFormat="1" ht="18.75" customHeight="1" x14ac:dyDescent="0.25">
      <c r="A18" s="37"/>
      <c r="B18" s="96" t="str">
        <f>IF(TRUE,"5000","LI(0,0)")</f>
        <v>5000</v>
      </c>
      <c r="C18" s="78" t="str">
        <f>IF(TRUE,"Purchases","LI(0,1)")</f>
        <v>Purchases</v>
      </c>
      <c r="D18" s="30"/>
      <c r="E18" s="75">
        <f>-_xll.NSGLABAL($G$4,$B18,"Jan " &amp; $B$3-1,"Dec " &amp; $B$3-1,,,$B$4)</f>
        <v>0</v>
      </c>
      <c r="F18" s="32"/>
      <c r="G18" s="38">
        <f>$E18/12*1.03</f>
        <v>0</v>
      </c>
      <c r="H18" s="55">
        <f t="shared" ref="H18:R33" si="6">$E18/12*1.03</f>
        <v>0</v>
      </c>
      <c r="I18" s="55">
        <f t="shared" si="6"/>
        <v>0</v>
      </c>
      <c r="J18" s="55">
        <f t="shared" si="6"/>
        <v>0</v>
      </c>
      <c r="K18" s="55">
        <f t="shared" si="6"/>
        <v>0</v>
      </c>
      <c r="L18" s="55">
        <f t="shared" si="6"/>
        <v>0</v>
      </c>
      <c r="M18" s="55">
        <f t="shared" si="6"/>
        <v>0</v>
      </c>
      <c r="N18" s="55">
        <f t="shared" si="6"/>
        <v>0</v>
      </c>
      <c r="O18" s="55">
        <f t="shared" si="6"/>
        <v>0</v>
      </c>
      <c r="P18" s="55">
        <f t="shared" si="6"/>
        <v>0</v>
      </c>
      <c r="Q18" s="55">
        <f t="shared" si="6"/>
        <v>0</v>
      </c>
      <c r="R18" s="56">
        <f t="shared" si="6"/>
        <v>0</v>
      </c>
      <c r="S18" s="34"/>
      <c r="T18" s="41">
        <f t="shared" ref="T18:T38" si="7">SUM(G18:R18)</f>
        <v>0</v>
      </c>
    </row>
    <row r="19" spans="1:20" s="5" customFormat="1" ht="18.75" customHeight="1" x14ac:dyDescent="0.25">
      <c r="A19" s="37"/>
      <c r="B19" s="97" t="str">
        <f>IF(TRUE,"5002","LI(1,0)")</f>
        <v>5002</v>
      </c>
      <c r="C19" s="79" t="str">
        <f>IF(TRUE,"Merchandise","LI(1,1)")</f>
        <v>Merchandise</v>
      </c>
      <c r="D19" s="30"/>
      <c r="E19" s="76">
        <f>-_xll.NSGLABAL($G$4,$B19,"Jan " &amp; $B$3-1,"Dec " &amp; $B$3-1,,,$B$4)</f>
        <v>-36775</v>
      </c>
      <c r="F19" s="32"/>
      <c r="G19" s="57">
        <f t="shared" ref="G19:R38" si="8">$E19/12*1.03</f>
        <v>-3156.5208333333335</v>
      </c>
      <c r="H19" s="33">
        <f t="shared" si="6"/>
        <v>-3156.5208333333335</v>
      </c>
      <c r="I19" s="33">
        <f t="shared" si="6"/>
        <v>-3156.5208333333335</v>
      </c>
      <c r="J19" s="33">
        <f t="shared" si="6"/>
        <v>-3156.5208333333335</v>
      </c>
      <c r="K19" s="33">
        <f t="shared" si="6"/>
        <v>-3156.5208333333335</v>
      </c>
      <c r="L19" s="33">
        <f t="shared" si="6"/>
        <v>-3156.5208333333335</v>
      </c>
      <c r="M19" s="33">
        <f t="shared" si="6"/>
        <v>-3156.5208333333335</v>
      </c>
      <c r="N19" s="33">
        <f t="shared" si="6"/>
        <v>-3156.5208333333335</v>
      </c>
      <c r="O19" s="33">
        <f t="shared" si="6"/>
        <v>-3156.5208333333335</v>
      </c>
      <c r="P19" s="33">
        <f t="shared" si="6"/>
        <v>-3156.5208333333335</v>
      </c>
      <c r="Q19" s="33">
        <f t="shared" si="6"/>
        <v>-3156.5208333333335</v>
      </c>
      <c r="R19" s="58">
        <f t="shared" si="6"/>
        <v>-3156.5208333333335</v>
      </c>
      <c r="S19" s="34"/>
      <c r="T19" s="44">
        <f t="shared" si="7"/>
        <v>-37878.25</v>
      </c>
    </row>
    <row r="20" spans="1:20" s="5" customFormat="1" ht="18.75" customHeight="1" x14ac:dyDescent="0.25">
      <c r="A20" s="37"/>
      <c r="B20" s="97" t="str">
        <f>IF(TRUE,"5004","LI(2,0)")</f>
        <v>5004</v>
      </c>
      <c r="C20" s="79" t="str">
        <f>IF(TRUE,"Service","LI(2,1)")</f>
        <v>Service</v>
      </c>
      <c r="D20" s="30"/>
      <c r="E20" s="76">
        <f>-_xll.NSGLABAL($G$4,$B20,"Jan " &amp; $B$3-1,"Dec " &amp; $B$3-1,,,$B$4)</f>
        <v>-14250</v>
      </c>
      <c r="F20" s="32"/>
      <c r="G20" s="57">
        <f t="shared" si="8"/>
        <v>-1223.125</v>
      </c>
      <c r="H20" s="33">
        <f t="shared" si="6"/>
        <v>-1223.125</v>
      </c>
      <c r="I20" s="33">
        <f t="shared" si="6"/>
        <v>-1223.125</v>
      </c>
      <c r="J20" s="33">
        <f t="shared" si="6"/>
        <v>-1223.125</v>
      </c>
      <c r="K20" s="33">
        <f t="shared" si="6"/>
        <v>-1223.125</v>
      </c>
      <c r="L20" s="33">
        <f t="shared" si="6"/>
        <v>-1223.125</v>
      </c>
      <c r="M20" s="33">
        <f t="shared" si="6"/>
        <v>-1223.125</v>
      </c>
      <c r="N20" s="33">
        <f t="shared" si="6"/>
        <v>-1223.125</v>
      </c>
      <c r="O20" s="33">
        <f t="shared" si="6"/>
        <v>-1223.125</v>
      </c>
      <c r="P20" s="33">
        <f t="shared" si="6"/>
        <v>-1223.125</v>
      </c>
      <c r="Q20" s="33">
        <f t="shared" si="6"/>
        <v>-1223.125</v>
      </c>
      <c r="R20" s="58">
        <f t="shared" si="6"/>
        <v>-1223.125</v>
      </c>
      <c r="S20" s="34"/>
      <c r="T20" s="44">
        <f t="shared" si="7"/>
        <v>-14677.5</v>
      </c>
    </row>
    <row r="21" spans="1:20" s="5" customFormat="1" ht="18.75" customHeight="1" x14ac:dyDescent="0.25">
      <c r="A21" s="37"/>
      <c r="B21" s="97" t="str">
        <f>IF(TRUE,"5020","LI(3,0)")</f>
        <v>5020</v>
      </c>
      <c r="C21" s="79" t="str">
        <f>IF(TRUE,"Salaries &amp; Wages","LI(3,1)")</f>
        <v>Salaries &amp; Wages</v>
      </c>
      <c r="D21" s="30"/>
      <c r="E21" s="76">
        <f>-_xll.NSGLABAL($G$4,$B21,"Jan " &amp; $B$3-1,"Dec " &amp; $B$3-1,,,$B$4)</f>
        <v>0</v>
      </c>
      <c r="F21" s="32"/>
      <c r="G21" s="57">
        <f t="shared" si="8"/>
        <v>0</v>
      </c>
      <c r="H21" s="33">
        <f t="shared" si="6"/>
        <v>0</v>
      </c>
      <c r="I21" s="33">
        <f t="shared" si="6"/>
        <v>0</v>
      </c>
      <c r="J21" s="33">
        <f t="shared" si="6"/>
        <v>0</v>
      </c>
      <c r="K21" s="33">
        <f t="shared" si="6"/>
        <v>0</v>
      </c>
      <c r="L21" s="33">
        <f t="shared" si="6"/>
        <v>0</v>
      </c>
      <c r="M21" s="33">
        <f t="shared" si="6"/>
        <v>0</v>
      </c>
      <c r="N21" s="33">
        <f t="shared" si="6"/>
        <v>0</v>
      </c>
      <c r="O21" s="33">
        <f t="shared" si="6"/>
        <v>0</v>
      </c>
      <c r="P21" s="33">
        <f t="shared" si="6"/>
        <v>0</v>
      </c>
      <c r="Q21" s="33">
        <f t="shared" si="6"/>
        <v>0</v>
      </c>
      <c r="R21" s="58">
        <f t="shared" si="6"/>
        <v>0</v>
      </c>
      <c r="S21" s="34"/>
      <c r="T21" s="44">
        <f t="shared" si="7"/>
        <v>0</v>
      </c>
    </row>
    <row r="22" spans="1:20" s="5" customFormat="1" ht="18.75" customHeight="1" x14ac:dyDescent="0.25">
      <c r="A22" s="37"/>
      <c r="B22" s="97" t="str">
        <f>IF(TRUE,"5040","LI(4,0)")</f>
        <v>5040</v>
      </c>
      <c r="C22" s="79" t="str">
        <f>IF(TRUE,"Damaged Goods","LI(4,1)")</f>
        <v>Damaged Goods</v>
      </c>
      <c r="D22" s="30"/>
      <c r="E22" s="76">
        <f>-_xll.NSGLABAL($G$4,$B22,"Jan " &amp; $B$3-1,"Dec " &amp; $B$3-1,,,$B$4)</f>
        <v>0</v>
      </c>
      <c r="F22" s="32"/>
      <c r="G22" s="57">
        <f t="shared" si="8"/>
        <v>0</v>
      </c>
      <c r="H22" s="33">
        <f t="shared" si="6"/>
        <v>0</v>
      </c>
      <c r="I22" s="33">
        <f t="shared" si="6"/>
        <v>0</v>
      </c>
      <c r="J22" s="33">
        <f t="shared" si="6"/>
        <v>0</v>
      </c>
      <c r="K22" s="33">
        <f t="shared" si="6"/>
        <v>0</v>
      </c>
      <c r="L22" s="33">
        <f t="shared" si="6"/>
        <v>0</v>
      </c>
      <c r="M22" s="33">
        <f t="shared" si="6"/>
        <v>0</v>
      </c>
      <c r="N22" s="33">
        <f t="shared" si="6"/>
        <v>0</v>
      </c>
      <c r="O22" s="33">
        <f t="shared" si="6"/>
        <v>0</v>
      </c>
      <c r="P22" s="33">
        <f t="shared" si="6"/>
        <v>0</v>
      </c>
      <c r="Q22" s="33">
        <f t="shared" si="6"/>
        <v>0</v>
      </c>
      <c r="R22" s="58">
        <f t="shared" si="6"/>
        <v>0</v>
      </c>
      <c r="S22" s="34"/>
      <c r="T22" s="44">
        <f t="shared" si="7"/>
        <v>0</v>
      </c>
    </row>
    <row r="23" spans="1:20" s="5" customFormat="1" ht="18.75" customHeight="1" x14ac:dyDescent="0.25">
      <c r="A23" s="37"/>
      <c r="B23" s="97" t="str">
        <f>IF(TRUE,"5080","LI(5,0)")</f>
        <v>5080</v>
      </c>
      <c r="C23" s="79" t="str">
        <f>IF(TRUE,"Inventory Write Offs","LI(5,1)")</f>
        <v>Inventory Write Offs</v>
      </c>
      <c r="D23" s="30"/>
      <c r="E23" s="76">
        <f>-_xll.NSGLABAL($G$4,$B23,"Jan " &amp; $B$3-1,"Dec " &amp; $B$3-1,,,$B$4)</f>
        <v>-256</v>
      </c>
      <c r="F23" s="32"/>
      <c r="G23" s="57">
        <f t="shared" si="8"/>
        <v>-21.973333333333333</v>
      </c>
      <c r="H23" s="33">
        <f t="shared" si="6"/>
        <v>-21.973333333333333</v>
      </c>
      <c r="I23" s="33">
        <f t="shared" si="6"/>
        <v>-21.973333333333333</v>
      </c>
      <c r="J23" s="33">
        <f t="shared" si="6"/>
        <v>-21.973333333333333</v>
      </c>
      <c r="K23" s="33">
        <f t="shared" si="6"/>
        <v>-21.973333333333333</v>
      </c>
      <c r="L23" s="33">
        <f t="shared" si="6"/>
        <v>-21.973333333333333</v>
      </c>
      <c r="M23" s="33">
        <f t="shared" si="6"/>
        <v>-21.973333333333333</v>
      </c>
      <c r="N23" s="33">
        <f t="shared" si="6"/>
        <v>-21.973333333333333</v>
      </c>
      <c r="O23" s="33">
        <f t="shared" si="6"/>
        <v>-21.973333333333333</v>
      </c>
      <c r="P23" s="33">
        <f t="shared" si="6"/>
        <v>-21.973333333333333</v>
      </c>
      <c r="Q23" s="33">
        <f t="shared" si="6"/>
        <v>-21.973333333333333</v>
      </c>
      <c r="R23" s="58">
        <f t="shared" si="6"/>
        <v>-21.973333333333333</v>
      </c>
      <c r="S23" s="34"/>
      <c r="T23" s="44">
        <f t="shared" si="7"/>
        <v>-263.68</v>
      </c>
    </row>
    <row r="24" spans="1:20" s="5" customFormat="1" ht="18.75" customHeight="1" x14ac:dyDescent="0.25">
      <c r="A24" s="37"/>
      <c r="B24" s="97" t="str">
        <f>IF(TRUE,"5085","LI(6,0)")</f>
        <v>5085</v>
      </c>
      <c r="C24" s="79" t="str">
        <f>IF(TRUE,"Customer Return Variance","LI(6,1)")</f>
        <v>Customer Return Variance</v>
      </c>
      <c r="D24" s="30"/>
      <c r="E24" s="76">
        <f>-_xll.NSGLABAL($G$4,$B24,"Jan " &amp; $B$3-1,"Dec " &amp; $B$3-1,,,$B$4)</f>
        <v>0</v>
      </c>
      <c r="F24" s="32"/>
      <c r="G24" s="57">
        <f t="shared" si="8"/>
        <v>0</v>
      </c>
      <c r="H24" s="33">
        <f t="shared" si="6"/>
        <v>0</v>
      </c>
      <c r="I24" s="33">
        <f t="shared" si="6"/>
        <v>0</v>
      </c>
      <c r="J24" s="33">
        <f t="shared" si="6"/>
        <v>0</v>
      </c>
      <c r="K24" s="33">
        <f t="shared" si="6"/>
        <v>0</v>
      </c>
      <c r="L24" s="33">
        <f t="shared" si="6"/>
        <v>0</v>
      </c>
      <c r="M24" s="33">
        <f t="shared" si="6"/>
        <v>0</v>
      </c>
      <c r="N24" s="33">
        <f t="shared" si="6"/>
        <v>0</v>
      </c>
      <c r="O24" s="33">
        <f t="shared" si="6"/>
        <v>0</v>
      </c>
      <c r="P24" s="33">
        <f t="shared" si="6"/>
        <v>0</v>
      </c>
      <c r="Q24" s="33">
        <f t="shared" si="6"/>
        <v>0</v>
      </c>
      <c r="R24" s="58">
        <f t="shared" si="6"/>
        <v>0</v>
      </c>
      <c r="S24" s="34"/>
      <c r="T24" s="44">
        <f t="shared" si="7"/>
        <v>0</v>
      </c>
    </row>
    <row r="25" spans="1:20" s="5" customFormat="1" ht="18.75" hidden="1" customHeight="1" x14ac:dyDescent="0.25">
      <c r="A25" s="37"/>
      <c r="B25" s="97" t="str">
        <f>IF(TRUE,"5086","LI(7,0)")</f>
        <v>5086</v>
      </c>
      <c r="C25" s="79" t="str">
        <f>IF(TRUE,"Vendor Return Variance","LI(7,1)")</f>
        <v>Vendor Return Variance</v>
      </c>
      <c r="D25" s="30"/>
      <c r="E25" s="76">
        <f>-_xll.NSGLABAL($G$4,$B25,"Jan " &amp; $B$3-1,"Dec " &amp; $B$3-1,,,$B$4)</f>
        <v>0</v>
      </c>
      <c r="F25" s="32"/>
      <c r="G25" s="57">
        <f t="shared" si="8"/>
        <v>0</v>
      </c>
      <c r="H25" s="33">
        <f t="shared" si="6"/>
        <v>0</v>
      </c>
      <c r="I25" s="33">
        <f t="shared" si="6"/>
        <v>0</v>
      </c>
      <c r="J25" s="33">
        <f t="shared" si="6"/>
        <v>0</v>
      </c>
      <c r="K25" s="33">
        <f t="shared" si="6"/>
        <v>0</v>
      </c>
      <c r="L25" s="33">
        <f t="shared" si="6"/>
        <v>0</v>
      </c>
      <c r="M25" s="33">
        <f t="shared" si="6"/>
        <v>0</v>
      </c>
      <c r="N25" s="33">
        <f t="shared" si="6"/>
        <v>0</v>
      </c>
      <c r="O25" s="33">
        <f t="shared" si="6"/>
        <v>0</v>
      </c>
      <c r="P25" s="33">
        <f t="shared" si="6"/>
        <v>0</v>
      </c>
      <c r="Q25" s="33">
        <f t="shared" si="6"/>
        <v>0</v>
      </c>
      <c r="R25" s="58">
        <f t="shared" si="6"/>
        <v>0</v>
      </c>
      <c r="S25" s="34"/>
      <c r="T25" s="44">
        <f t="shared" si="7"/>
        <v>0</v>
      </c>
    </row>
    <row r="26" spans="1:20" s="5" customFormat="1" ht="18.75" hidden="1" customHeight="1" x14ac:dyDescent="0.25">
      <c r="A26" s="37"/>
      <c r="B26" s="97" t="str">
        <f>IF(TRUE,"5090","LI(8,0)")</f>
        <v>5090</v>
      </c>
      <c r="C26" s="79" t="str">
        <f>IF(TRUE,"Inventory Variance","LI(8,1)")</f>
        <v>Inventory Variance</v>
      </c>
      <c r="D26" s="30"/>
      <c r="E26" s="76">
        <f>-_xll.NSGLABAL($G$4,$B26,"Jan " &amp; $B$3-1,"Dec " &amp; $B$3-1,,,$B$4)</f>
        <v>0</v>
      </c>
      <c r="F26" s="32"/>
      <c r="G26" s="57">
        <f t="shared" si="8"/>
        <v>0</v>
      </c>
      <c r="H26" s="33">
        <f t="shared" si="6"/>
        <v>0</v>
      </c>
      <c r="I26" s="33">
        <f t="shared" si="6"/>
        <v>0</v>
      </c>
      <c r="J26" s="33">
        <f t="shared" si="6"/>
        <v>0</v>
      </c>
      <c r="K26" s="33">
        <f t="shared" si="6"/>
        <v>0</v>
      </c>
      <c r="L26" s="33">
        <f t="shared" si="6"/>
        <v>0</v>
      </c>
      <c r="M26" s="33">
        <f t="shared" si="6"/>
        <v>0</v>
      </c>
      <c r="N26" s="33">
        <f t="shared" si="6"/>
        <v>0</v>
      </c>
      <c r="O26" s="33">
        <f t="shared" si="6"/>
        <v>0</v>
      </c>
      <c r="P26" s="33">
        <f t="shared" si="6"/>
        <v>0</v>
      </c>
      <c r="Q26" s="33">
        <f t="shared" si="6"/>
        <v>0</v>
      </c>
      <c r="R26" s="58">
        <f t="shared" si="6"/>
        <v>0</v>
      </c>
      <c r="S26" s="34"/>
      <c r="T26" s="44">
        <f t="shared" si="7"/>
        <v>0</v>
      </c>
    </row>
    <row r="27" spans="1:20" s="5" customFormat="1" ht="18.75" customHeight="1" x14ac:dyDescent="0.25">
      <c r="A27" s="37"/>
      <c r="B27" s="97" t="str">
        <f>IF(TRUE,"5091","LI(9,0)")</f>
        <v>5091</v>
      </c>
      <c r="C27" s="79" t="str">
        <f>IF(TRUE,"Inventory Transfer Price Gain / Loss","LI(9,1)")</f>
        <v>Inventory Transfer Price Gain / Loss</v>
      </c>
      <c r="D27" s="30"/>
      <c r="E27" s="76">
        <f>-_xll.NSGLABAL($G$4,$B27,"Jan " &amp; $B$3-1,"Dec " &amp; $B$3-1,,,$B$4)</f>
        <v>0</v>
      </c>
      <c r="F27" s="32"/>
      <c r="G27" s="57">
        <f t="shared" si="8"/>
        <v>0</v>
      </c>
      <c r="H27" s="33">
        <f t="shared" si="6"/>
        <v>0</v>
      </c>
      <c r="I27" s="33">
        <f t="shared" si="6"/>
        <v>0</v>
      </c>
      <c r="J27" s="33">
        <f t="shared" si="6"/>
        <v>0</v>
      </c>
      <c r="K27" s="33">
        <f t="shared" si="6"/>
        <v>0</v>
      </c>
      <c r="L27" s="33">
        <f t="shared" si="6"/>
        <v>0</v>
      </c>
      <c r="M27" s="33">
        <f t="shared" si="6"/>
        <v>0</v>
      </c>
      <c r="N27" s="33">
        <f t="shared" si="6"/>
        <v>0</v>
      </c>
      <c r="O27" s="33">
        <f t="shared" si="6"/>
        <v>0</v>
      </c>
      <c r="P27" s="33">
        <f t="shared" si="6"/>
        <v>0</v>
      </c>
      <c r="Q27" s="33">
        <f t="shared" si="6"/>
        <v>0</v>
      </c>
      <c r="R27" s="58">
        <f t="shared" si="6"/>
        <v>0</v>
      </c>
      <c r="S27" s="34"/>
      <c r="T27" s="44">
        <f t="shared" si="7"/>
        <v>0</v>
      </c>
    </row>
    <row r="28" spans="1:20" s="5" customFormat="1" ht="18.75" customHeight="1" x14ac:dyDescent="0.25">
      <c r="A28" s="37"/>
      <c r="B28" s="97" t="str">
        <f>IF(TRUE,"5092","LI(10,0)")</f>
        <v>5092</v>
      </c>
      <c r="C28" s="79" t="str">
        <f>IF(TRUE,"Purchase Price Variance","LI(10,1)")</f>
        <v>Purchase Price Variance</v>
      </c>
      <c r="D28" s="30"/>
      <c r="E28" s="76">
        <f>-_xll.NSGLABAL($G$4,$B28,"Jan " &amp; $B$3-1,"Dec " &amp; $B$3-1,,,$B$4)</f>
        <v>-711.9</v>
      </c>
      <c r="F28" s="32"/>
      <c r="G28" s="57">
        <f t="shared" si="8"/>
        <v>-61.104749999999996</v>
      </c>
      <c r="H28" s="33">
        <f t="shared" si="6"/>
        <v>-61.104749999999996</v>
      </c>
      <c r="I28" s="33">
        <f t="shared" si="6"/>
        <v>-61.104749999999996</v>
      </c>
      <c r="J28" s="33">
        <f t="shared" si="6"/>
        <v>-61.104749999999996</v>
      </c>
      <c r="K28" s="33">
        <f t="shared" si="6"/>
        <v>-61.104749999999996</v>
      </c>
      <c r="L28" s="33">
        <f t="shared" si="6"/>
        <v>-61.104749999999996</v>
      </c>
      <c r="M28" s="33">
        <f t="shared" si="6"/>
        <v>-61.104749999999996</v>
      </c>
      <c r="N28" s="33">
        <f t="shared" si="6"/>
        <v>-61.104749999999996</v>
      </c>
      <c r="O28" s="33">
        <f t="shared" si="6"/>
        <v>-61.104749999999996</v>
      </c>
      <c r="P28" s="33">
        <f t="shared" si="6"/>
        <v>-61.104749999999996</v>
      </c>
      <c r="Q28" s="33">
        <f t="shared" si="6"/>
        <v>-61.104749999999996</v>
      </c>
      <c r="R28" s="58">
        <f t="shared" si="6"/>
        <v>-61.104749999999996</v>
      </c>
      <c r="S28" s="34"/>
      <c r="T28" s="44">
        <f t="shared" si="7"/>
        <v>-733.25699999999972</v>
      </c>
    </row>
    <row r="29" spans="1:20" s="5" customFormat="1" ht="18.75" customHeight="1" x14ac:dyDescent="0.25">
      <c r="A29" s="37"/>
      <c r="B29" s="97" t="str">
        <f>IF(TRUE,"5093","LI(11,0)")</f>
        <v>5093</v>
      </c>
      <c r="C29" s="79" t="str">
        <f>IF(TRUE,"Build Price Variance","LI(11,1)")</f>
        <v>Build Price Variance</v>
      </c>
      <c r="D29" s="30"/>
      <c r="E29" s="76">
        <f>-_xll.NSGLABAL($G$4,$B29,"Jan " &amp; $B$3-1,"Dec " &amp; $B$3-1,,,$B$4)</f>
        <v>-6850.94</v>
      </c>
      <c r="F29" s="32"/>
      <c r="G29" s="57">
        <f t="shared" si="8"/>
        <v>-588.03901666666661</v>
      </c>
      <c r="H29" s="33">
        <f t="shared" si="6"/>
        <v>-588.03901666666661</v>
      </c>
      <c r="I29" s="33">
        <f t="shared" si="6"/>
        <v>-588.03901666666661</v>
      </c>
      <c r="J29" s="33">
        <f t="shared" si="6"/>
        <v>-588.03901666666661</v>
      </c>
      <c r="K29" s="33">
        <f t="shared" si="6"/>
        <v>-588.03901666666661</v>
      </c>
      <c r="L29" s="33">
        <f t="shared" si="6"/>
        <v>-588.03901666666661</v>
      </c>
      <c r="M29" s="33">
        <f t="shared" si="6"/>
        <v>-588.03901666666661</v>
      </c>
      <c r="N29" s="33">
        <f t="shared" si="6"/>
        <v>-588.03901666666661</v>
      </c>
      <c r="O29" s="33">
        <f t="shared" si="6"/>
        <v>-588.03901666666661</v>
      </c>
      <c r="P29" s="33">
        <f t="shared" si="6"/>
        <v>-588.03901666666661</v>
      </c>
      <c r="Q29" s="33">
        <f t="shared" si="6"/>
        <v>-588.03901666666661</v>
      </c>
      <c r="R29" s="58">
        <f t="shared" si="6"/>
        <v>-588.03901666666661</v>
      </c>
      <c r="S29" s="34"/>
      <c r="T29" s="44">
        <f t="shared" si="7"/>
        <v>-7056.4681999999993</v>
      </c>
    </row>
    <row r="30" spans="1:20" s="5" customFormat="1" ht="18.75" customHeight="1" x14ac:dyDescent="0.25">
      <c r="A30" s="37"/>
      <c r="B30" s="97" t="str">
        <f>IF(TRUE,"5094","LI(12,0)")</f>
        <v>5094</v>
      </c>
      <c r="C30" s="79" t="str">
        <f>IF(TRUE,"Build Quantity Variance","LI(12,1)")</f>
        <v>Build Quantity Variance</v>
      </c>
      <c r="D30" s="30"/>
      <c r="E30" s="76">
        <f>-_xll.NSGLABAL($G$4,$B30,"Jan " &amp; $B$3-1,"Dec " &amp; $B$3-1,,,$B$4)</f>
        <v>14058.49</v>
      </c>
      <c r="F30" s="32"/>
      <c r="G30" s="57">
        <f t="shared" si="8"/>
        <v>1206.6870583333332</v>
      </c>
      <c r="H30" s="33">
        <f t="shared" si="6"/>
        <v>1206.6870583333332</v>
      </c>
      <c r="I30" s="33">
        <f t="shared" si="6"/>
        <v>1206.6870583333332</v>
      </c>
      <c r="J30" s="33">
        <f t="shared" si="6"/>
        <v>1206.6870583333332</v>
      </c>
      <c r="K30" s="33">
        <f t="shared" si="6"/>
        <v>1206.6870583333332</v>
      </c>
      <c r="L30" s="33">
        <f t="shared" si="6"/>
        <v>1206.6870583333332</v>
      </c>
      <c r="M30" s="33">
        <f t="shared" si="6"/>
        <v>1206.6870583333332</v>
      </c>
      <c r="N30" s="33">
        <f t="shared" si="6"/>
        <v>1206.6870583333332</v>
      </c>
      <c r="O30" s="33">
        <f t="shared" si="6"/>
        <v>1206.6870583333332</v>
      </c>
      <c r="P30" s="33">
        <f t="shared" si="6"/>
        <v>1206.6870583333332</v>
      </c>
      <c r="Q30" s="33">
        <f t="shared" si="6"/>
        <v>1206.6870583333332</v>
      </c>
      <c r="R30" s="58">
        <f t="shared" si="6"/>
        <v>1206.6870583333332</v>
      </c>
      <c r="S30" s="34"/>
      <c r="T30" s="44">
        <f t="shared" si="7"/>
        <v>14480.244699999997</v>
      </c>
    </row>
    <row r="31" spans="1:20" s="5" customFormat="1" ht="18.75" hidden="1" customHeight="1" x14ac:dyDescent="0.25">
      <c r="A31" s="37"/>
      <c r="B31" s="97" t="str">
        <f>IF(TRUE,"5095","LI(13,0)")</f>
        <v>5095</v>
      </c>
      <c r="C31" s="79" t="str">
        <f>IF(TRUE,"Bill Quantity Variance","LI(13,1)")</f>
        <v>Bill Quantity Variance</v>
      </c>
      <c r="D31" s="30"/>
      <c r="E31" s="76">
        <f>-_xll.NSGLABAL($G$4,$B31,"Jan " &amp; $B$3-1,"Dec " &amp; $B$3-1,,,$B$4)</f>
        <v>0</v>
      </c>
      <c r="F31" s="32"/>
      <c r="G31" s="57">
        <f t="shared" si="8"/>
        <v>0</v>
      </c>
      <c r="H31" s="33">
        <f t="shared" si="6"/>
        <v>0</v>
      </c>
      <c r="I31" s="33">
        <f t="shared" si="6"/>
        <v>0</v>
      </c>
      <c r="J31" s="33">
        <f t="shared" si="6"/>
        <v>0</v>
      </c>
      <c r="K31" s="33">
        <f t="shared" si="6"/>
        <v>0</v>
      </c>
      <c r="L31" s="33">
        <f t="shared" si="6"/>
        <v>0</v>
      </c>
      <c r="M31" s="33">
        <f t="shared" si="6"/>
        <v>0</v>
      </c>
      <c r="N31" s="33">
        <f t="shared" si="6"/>
        <v>0</v>
      </c>
      <c r="O31" s="33">
        <f t="shared" si="6"/>
        <v>0</v>
      </c>
      <c r="P31" s="33">
        <f t="shared" si="6"/>
        <v>0</v>
      </c>
      <c r="Q31" s="33">
        <f t="shared" si="6"/>
        <v>0</v>
      </c>
      <c r="R31" s="58">
        <f t="shared" si="6"/>
        <v>0</v>
      </c>
      <c r="S31" s="34"/>
      <c r="T31" s="44">
        <f t="shared" si="7"/>
        <v>0</v>
      </c>
    </row>
    <row r="32" spans="1:20" s="5" customFormat="1" ht="18.75" hidden="1" customHeight="1" x14ac:dyDescent="0.25">
      <c r="A32" s="37"/>
      <c r="B32" s="97" t="str">
        <f>IF(TRUE,"5096","LI(14,0)")</f>
        <v>5096</v>
      </c>
      <c r="C32" s="79" t="str">
        <f>IF(TRUE,"Bill Price Variance","LI(14,1)")</f>
        <v>Bill Price Variance</v>
      </c>
      <c r="D32" s="30"/>
      <c r="E32" s="76">
        <f>-_xll.NSGLABAL($G$4,$B32,"Jan " &amp; $B$3-1,"Dec " &amp; $B$3-1,,,$B$4)</f>
        <v>0</v>
      </c>
      <c r="F32" s="32"/>
      <c r="G32" s="57">
        <f t="shared" si="8"/>
        <v>0</v>
      </c>
      <c r="H32" s="33">
        <f t="shared" si="6"/>
        <v>0</v>
      </c>
      <c r="I32" s="33">
        <f t="shared" si="6"/>
        <v>0</v>
      </c>
      <c r="J32" s="33">
        <f t="shared" si="6"/>
        <v>0</v>
      </c>
      <c r="K32" s="33">
        <f t="shared" si="6"/>
        <v>0</v>
      </c>
      <c r="L32" s="33">
        <f t="shared" si="6"/>
        <v>0</v>
      </c>
      <c r="M32" s="33">
        <f t="shared" si="6"/>
        <v>0</v>
      </c>
      <c r="N32" s="33">
        <f t="shared" si="6"/>
        <v>0</v>
      </c>
      <c r="O32" s="33">
        <f t="shared" si="6"/>
        <v>0</v>
      </c>
      <c r="P32" s="33">
        <f t="shared" si="6"/>
        <v>0</v>
      </c>
      <c r="Q32" s="33">
        <f t="shared" si="6"/>
        <v>0</v>
      </c>
      <c r="R32" s="58">
        <f t="shared" si="6"/>
        <v>0</v>
      </c>
      <c r="S32" s="34"/>
      <c r="T32" s="44">
        <f t="shared" si="7"/>
        <v>0</v>
      </c>
    </row>
    <row r="33" spans="1:20" s="5" customFormat="1" ht="18.75" hidden="1" customHeight="1" x14ac:dyDescent="0.25">
      <c r="A33" s="37"/>
      <c r="B33" s="97" t="str">
        <f>IF(TRUE,"5097","LI(15,0)")</f>
        <v>5097</v>
      </c>
      <c r="C33" s="79" t="str">
        <f>IF(TRUE,"Bill Exchange Rate Variance","LI(15,1)")</f>
        <v>Bill Exchange Rate Variance</v>
      </c>
      <c r="D33" s="30"/>
      <c r="E33" s="76">
        <f>-_xll.NSGLABAL($G$4,$B33,"Jan " &amp; $B$3-1,"Dec " &amp; $B$3-1,,,$B$4)</f>
        <v>0</v>
      </c>
      <c r="F33" s="32"/>
      <c r="G33" s="57">
        <f t="shared" si="8"/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  <c r="M33" s="33">
        <f t="shared" si="6"/>
        <v>0</v>
      </c>
      <c r="N33" s="33">
        <f t="shared" si="6"/>
        <v>0</v>
      </c>
      <c r="O33" s="33">
        <f t="shared" si="6"/>
        <v>0</v>
      </c>
      <c r="P33" s="33">
        <f t="shared" si="6"/>
        <v>0</v>
      </c>
      <c r="Q33" s="33">
        <f t="shared" si="6"/>
        <v>0</v>
      </c>
      <c r="R33" s="58">
        <f t="shared" si="6"/>
        <v>0</v>
      </c>
      <c r="S33" s="34"/>
      <c r="T33" s="44">
        <f t="shared" si="7"/>
        <v>0</v>
      </c>
    </row>
    <row r="34" spans="1:20" s="5" customFormat="1" ht="18.75" hidden="1" customHeight="1" x14ac:dyDescent="0.25">
      <c r="A34" s="37"/>
      <c r="B34" s="97" t="str">
        <f>IF(TRUE,"5098","LI(16,0)")</f>
        <v>5098</v>
      </c>
      <c r="C34" s="79" t="str">
        <f>IF(TRUE,"Unbuild Variance","LI(16,1)")</f>
        <v>Unbuild Variance</v>
      </c>
      <c r="D34" s="30"/>
      <c r="E34" s="76">
        <f>-_xll.NSGLABAL($G$4,$B34,"Jan " &amp; $B$3-1,"Dec " &amp; $B$3-1,,,$B$4)</f>
        <v>0</v>
      </c>
      <c r="F34" s="32"/>
      <c r="G34" s="57">
        <f t="shared" si="8"/>
        <v>0</v>
      </c>
      <c r="H34" s="33">
        <f t="shared" si="8"/>
        <v>0</v>
      </c>
      <c r="I34" s="33">
        <f t="shared" si="8"/>
        <v>0</v>
      </c>
      <c r="J34" s="33">
        <f t="shared" si="8"/>
        <v>0</v>
      </c>
      <c r="K34" s="33">
        <f t="shared" si="8"/>
        <v>0</v>
      </c>
      <c r="L34" s="33">
        <f t="shared" si="8"/>
        <v>0</v>
      </c>
      <c r="M34" s="33">
        <f t="shared" si="8"/>
        <v>0</v>
      </c>
      <c r="N34" s="33">
        <f t="shared" si="8"/>
        <v>0</v>
      </c>
      <c r="O34" s="33">
        <f t="shared" si="8"/>
        <v>0</v>
      </c>
      <c r="P34" s="33">
        <f t="shared" si="8"/>
        <v>0</v>
      </c>
      <c r="Q34" s="33">
        <f t="shared" si="8"/>
        <v>0</v>
      </c>
      <c r="R34" s="58">
        <f t="shared" si="8"/>
        <v>0</v>
      </c>
      <c r="S34" s="34"/>
      <c r="T34" s="44">
        <f t="shared" si="7"/>
        <v>0</v>
      </c>
    </row>
    <row r="35" spans="1:20" s="5" customFormat="1" ht="18.75" hidden="1" customHeight="1" x14ac:dyDescent="0.25">
      <c r="A35" s="37"/>
      <c r="B35" s="97" t="str">
        <f>IF(TRUE,"5100","LI(17,0)")</f>
        <v>5100</v>
      </c>
      <c r="C35" s="79" t="str">
        <f>IF(TRUE,"Mfg WIP","LI(17,1)")</f>
        <v>Mfg WIP</v>
      </c>
      <c r="D35" s="30"/>
      <c r="E35" s="76">
        <f>-_xll.NSGLABAL($G$4,$B35,"Jan " &amp; $B$3-1,"Dec " &amp; $B$3-1,,,$B$4)</f>
        <v>-8146.88</v>
      </c>
      <c r="F35" s="32"/>
      <c r="G35" s="57">
        <f t="shared" si="8"/>
        <v>-699.27386666666666</v>
      </c>
      <c r="H35" s="33">
        <f t="shared" si="8"/>
        <v>-699.27386666666666</v>
      </c>
      <c r="I35" s="33">
        <f t="shared" si="8"/>
        <v>-699.27386666666666</v>
      </c>
      <c r="J35" s="33">
        <f t="shared" si="8"/>
        <v>-699.27386666666666</v>
      </c>
      <c r="K35" s="33">
        <f t="shared" si="8"/>
        <v>-699.27386666666666</v>
      </c>
      <c r="L35" s="33">
        <f t="shared" si="8"/>
        <v>-699.27386666666666</v>
      </c>
      <c r="M35" s="33">
        <f t="shared" si="8"/>
        <v>-699.27386666666666</v>
      </c>
      <c r="N35" s="33">
        <f t="shared" si="8"/>
        <v>-699.27386666666666</v>
      </c>
      <c r="O35" s="33">
        <f t="shared" si="8"/>
        <v>-699.27386666666666</v>
      </c>
      <c r="P35" s="33">
        <f t="shared" si="8"/>
        <v>-699.27386666666666</v>
      </c>
      <c r="Q35" s="33">
        <f t="shared" si="8"/>
        <v>-699.27386666666666</v>
      </c>
      <c r="R35" s="58">
        <f t="shared" si="8"/>
        <v>-699.27386666666666</v>
      </c>
      <c r="S35" s="34"/>
      <c r="T35" s="44">
        <f t="shared" si="7"/>
        <v>-8391.286399999999</v>
      </c>
    </row>
    <row r="36" spans="1:20" s="5" customFormat="1" ht="18.75" hidden="1" customHeight="1" x14ac:dyDescent="0.25">
      <c r="A36" s="37"/>
      <c r="B36" s="97" t="str">
        <f>IF(TRUE,"5101","LI(18,0)")</f>
        <v>5101</v>
      </c>
      <c r="C36" s="79" t="str">
        <f>IF(TRUE,"Mfg Scrap","LI(18,1)")</f>
        <v>Mfg Scrap</v>
      </c>
      <c r="D36" s="30"/>
      <c r="E36" s="76">
        <f>-_xll.NSGLABAL($G$4,$B36,"Jan " &amp; $B$3-1,"Dec " &amp; $B$3-1,,,$B$4)</f>
        <v>-371.08</v>
      </c>
      <c r="F36" s="32"/>
      <c r="G36" s="57">
        <f t="shared" si="8"/>
        <v>-31.851033333333334</v>
      </c>
      <c r="H36" s="33">
        <f t="shared" si="8"/>
        <v>-31.851033333333334</v>
      </c>
      <c r="I36" s="33">
        <f t="shared" si="8"/>
        <v>-31.851033333333334</v>
      </c>
      <c r="J36" s="33">
        <f t="shared" si="8"/>
        <v>-31.851033333333334</v>
      </c>
      <c r="K36" s="33">
        <f t="shared" si="8"/>
        <v>-31.851033333333334</v>
      </c>
      <c r="L36" s="33">
        <f t="shared" si="8"/>
        <v>-31.851033333333334</v>
      </c>
      <c r="M36" s="33">
        <f t="shared" si="8"/>
        <v>-31.851033333333334</v>
      </c>
      <c r="N36" s="33">
        <f t="shared" si="8"/>
        <v>-31.851033333333334</v>
      </c>
      <c r="O36" s="33">
        <f t="shared" si="8"/>
        <v>-31.851033333333334</v>
      </c>
      <c r="P36" s="33">
        <f t="shared" si="8"/>
        <v>-31.851033333333334</v>
      </c>
      <c r="Q36" s="33">
        <f t="shared" si="8"/>
        <v>-31.851033333333334</v>
      </c>
      <c r="R36" s="58">
        <f t="shared" si="8"/>
        <v>-31.851033333333334</v>
      </c>
      <c r="S36" s="34"/>
      <c r="T36" s="44">
        <f t="shared" si="7"/>
        <v>-382.21240000000012</v>
      </c>
    </row>
    <row r="37" spans="1:20" s="5" customFormat="1" ht="18.75" hidden="1" customHeight="1" x14ac:dyDescent="0.25">
      <c r="A37" s="37"/>
      <c r="B37" s="97" t="str">
        <f>IF(TRUE,"5102","LI(19,0)")</f>
        <v>5102</v>
      </c>
      <c r="C37" s="79" t="str">
        <f>IF(TRUE,"WIP Variance","LI(19,1)")</f>
        <v>WIP Variance</v>
      </c>
      <c r="D37" s="30"/>
      <c r="E37" s="76">
        <f>-_xll.NSGLABAL($G$4,$B37,"Jan " &amp; $B$3-1,"Dec " &amp; $B$3-1,,,$B$4)</f>
        <v>-3781</v>
      </c>
      <c r="F37" s="32"/>
      <c r="G37" s="57">
        <f t="shared" si="8"/>
        <v>-324.5358333333333</v>
      </c>
      <c r="H37" s="33">
        <f t="shared" si="8"/>
        <v>-324.5358333333333</v>
      </c>
      <c r="I37" s="33">
        <f t="shared" si="8"/>
        <v>-324.5358333333333</v>
      </c>
      <c r="J37" s="33">
        <f t="shared" si="8"/>
        <v>-324.5358333333333</v>
      </c>
      <c r="K37" s="33">
        <f t="shared" si="8"/>
        <v>-324.5358333333333</v>
      </c>
      <c r="L37" s="33">
        <f t="shared" si="8"/>
        <v>-324.5358333333333</v>
      </c>
      <c r="M37" s="33">
        <f t="shared" si="8"/>
        <v>-324.5358333333333</v>
      </c>
      <c r="N37" s="33">
        <f t="shared" si="8"/>
        <v>-324.5358333333333</v>
      </c>
      <c r="O37" s="33">
        <f t="shared" si="8"/>
        <v>-324.5358333333333</v>
      </c>
      <c r="P37" s="33">
        <f t="shared" si="8"/>
        <v>-324.5358333333333</v>
      </c>
      <c r="Q37" s="33">
        <f t="shared" si="8"/>
        <v>-324.5358333333333</v>
      </c>
      <c r="R37" s="58">
        <f t="shared" si="8"/>
        <v>-324.5358333333333</v>
      </c>
      <c r="S37" s="34"/>
      <c r="T37" s="44">
        <f t="shared" si="7"/>
        <v>-3894.43</v>
      </c>
    </row>
    <row r="38" spans="1:20" s="5" customFormat="1" ht="18.75" customHeight="1" x14ac:dyDescent="0.25">
      <c r="A38" s="37"/>
      <c r="B38" s="98" t="str">
        <f>IF(TRUE,"5200","LI(20,0)")</f>
        <v>5200</v>
      </c>
      <c r="C38" s="80" t="str">
        <f>IF(TRUE,"Vendor Rebates","LI(20,1)")</f>
        <v>Vendor Rebates</v>
      </c>
      <c r="D38" s="30"/>
      <c r="E38" s="77">
        <f>-_xll.NSGLABAL($G$4,$B38,"Jan " &amp; $B$3-1,"Dec " &amp; $B$3-1,,,$B$4)</f>
        <v>0</v>
      </c>
      <c r="F38" s="32"/>
      <c r="G38" s="59">
        <f t="shared" si="8"/>
        <v>0</v>
      </c>
      <c r="H38" s="60">
        <f t="shared" si="8"/>
        <v>0</v>
      </c>
      <c r="I38" s="60">
        <f t="shared" si="8"/>
        <v>0</v>
      </c>
      <c r="J38" s="60">
        <f t="shared" si="8"/>
        <v>0</v>
      </c>
      <c r="K38" s="60">
        <f t="shared" si="8"/>
        <v>0</v>
      </c>
      <c r="L38" s="60">
        <f t="shared" si="8"/>
        <v>0</v>
      </c>
      <c r="M38" s="60">
        <f t="shared" si="8"/>
        <v>0</v>
      </c>
      <c r="N38" s="60">
        <f t="shared" si="8"/>
        <v>0</v>
      </c>
      <c r="O38" s="60">
        <f t="shared" si="8"/>
        <v>0</v>
      </c>
      <c r="P38" s="60">
        <f t="shared" si="8"/>
        <v>0</v>
      </c>
      <c r="Q38" s="60">
        <f t="shared" si="8"/>
        <v>0</v>
      </c>
      <c r="R38" s="61">
        <f t="shared" si="8"/>
        <v>0</v>
      </c>
      <c r="S38" s="34"/>
      <c r="T38" s="48">
        <f t="shared" si="7"/>
        <v>0</v>
      </c>
    </row>
    <row r="39" spans="1:20" s="36" customFormat="1" ht="9" customHeight="1" x14ac:dyDescent="0.25">
      <c r="A39" s="29"/>
      <c r="B39" s="90"/>
      <c r="C39" s="53"/>
      <c r="D39" s="30"/>
      <c r="E39" s="74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5"/>
    </row>
    <row r="40" spans="1:20" s="27" customFormat="1" ht="18.75" customHeight="1" x14ac:dyDescent="0.25">
      <c r="A40" s="49"/>
      <c r="B40" s="91" t="s">
        <v>1</v>
      </c>
      <c r="C40" s="54" t="s">
        <v>25</v>
      </c>
      <c r="D40" s="50"/>
      <c r="E40" s="82">
        <f>SUM(E18:E38)</f>
        <v>-57084.310000000005</v>
      </c>
      <c r="F40" s="83"/>
      <c r="G40" s="84">
        <f t="shared" ref="G40:R40" si="9">SUM(G18:G38)</f>
        <v>-4899.7366083333345</v>
      </c>
      <c r="H40" s="84">
        <f t="shared" si="9"/>
        <v>-4899.7366083333345</v>
      </c>
      <c r="I40" s="84">
        <f t="shared" si="9"/>
        <v>-4899.7366083333345</v>
      </c>
      <c r="J40" s="84">
        <f t="shared" si="9"/>
        <v>-4899.7366083333345</v>
      </c>
      <c r="K40" s="84">
        <f t="shared" si="9"/>
        <v>-4899.7366083333345</v>
      </c>
      <c r="L40" s="84">
        <f t="shared" si="9"/>
        <v>-4899.7366083333345</v>
      </c>
      <c r="M40" s="84">
        <f t="shared" si="9"/>
        <v>-4899.7366083333345</v>
      </c>
      <c r="N40" s="84">
        <f t="shared" si="9"/>
        <v>-4899.7366083333345</v>
      </c>
      <c r="O40" s="84">
        <f t="shared" si="9"/>
        <v>-4899.7366083333345</v>
      </c>
      <c r="P40" s="84">
        <f t="shared" si="9"/>
        <v>-4899.7366083333345</v>
      </c>
      <c r="Q40" s="84">
        <f t="shared" si="9"/>
        <v>-4899.7366083333345</v>
      </c>
      <c r="R40" s="84">
        <f t="shared" si="9"/>
        <v>-4899.7366083333345</v>
      </c>
      <c r="S40" s="83"/>
      <c r="T40" s="85">
        <f>SUM(G40:R40)</f>
        <v>-58796.8393</v>
      </c>
    </row>
    <row r="41" spans="1:20" s="36" customFormat="1" ht="9" customHeight="1" x14ac:dyDescent="0.25">
      <c r="A41" s="29"/>
      <c r="B41" s="90"/>
      <c r="C41" s="53"/>
      <c r="D41" s="30"/>
      <c r="E41" s="74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4"/>
      <c r="T41" s="35"/>
    </row>
    <row r="42" spans="1:20" s="27" customFormat="1" ht="20.25" customHeight="1" x14ac:dyDescent="0.25">
      <c r="A42" s="49"/>
      <c r="B42" s="91" t="s">
        <v>1</v>
      </c>
      <c r="C42" s="54" t="s">
        <v>23</v>
      </c>
      <c r="D42" s="50"/>
      <c r="E42" s="82">
        <f>E16-E40</f>
        <v>1858862</v>
      </c>
      <c r="F42" s="83"/>
      <c r="G42" s="84">
        <f>G16-G40</f>
        <v>159552.32166666668</v>
      </c>
      <c r="H42" s="84">
        <f t="shared" ref="H42:R42" si="10">H16-H40</f>
        <v>159552.32166666668</v>
      </c>
      <c r="I42" s="84">
        <f t="shared" si="10"/>
        <v>159552.32166666668</v>
      </c>
      <c r="J42" s="84">
        <f t="shared" si="10"/>
        <v>159552.32166666668</v>
      </c>
      <c r="K42" s="84">
        <f t="shared" si="10"/>
        <v>159552.32166666668</v>
      </c>
      <c r="L42" s="84">
        <f t="shared" si="10"/>
        <v>159552.32166666668</v>
      </c>
      <c r="M42" s="84">
        <f t="shared" si="10"/>
        <v>159552.32166666668</v>
      </c>
      <c r="N42" s="84">
        <f t="shared" si="10"/>
        <v>159552.32166666668</v>
      </c>
      <c r="O42" s="84">
        <f t="shared" si="10"/>
        <v>159552.32166666668</v>
      </c>
      <c r="P42" s="84">
        <f t="shared" si="10"/>
        <v>159552.32166666668</v>
      </c>
      <c r="Q42" s="84">
        <f t="shared" si="10"/>
        <v>159552.32166666668</v>
      </c>
      <c r="R42" s="84">
        <f t="shared" si="10"/>
        <v>159552.32166666668</v>
      </c>
      <c r="S42" s="83"/>
      <c r="T42" s="85">
        <f t="shared" ref="T42" si="11">SUM(G42:R42)</f>
        <v>1914627.8600000006</v>
      </c>
    </row>
    <row r="43" spans="1:20" x14ac:dyDescent="0.25"/>
    <row r="44" spans="1:20" x14ac:dyDescent="0.25"/>
    <row r="45" spans="1:20" x14ac:dyDescent="0.25"/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ht="17.25" customHeight="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mergeCells count="6">
    <mergeCell ref="G5:P5"/>
    <mergeCell ref="G4:P4"/>
    <mergeCell ref="G3:P3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3032C-1E3B-4D07-92A3-9A437E64B39C}"/>
</file>

<file path=customXml/itemProps2.xml><?xml version="1.0" encoding="utf-8"?>
<ds:datastoreItem xmlns:ds="http://schemas.openxmlformats.org/officeDocument/2006/customXml" ds:itemID="{0B647C6D-6B43-46C8-8FF8-33A7AB15FC7D}"/>
</file>

<file path=customXml/itemProps3.xml><?xml version="1.0" encoding="utf-8"?>
<ds:datastoreItem xmlns:ds="http://schemas.openxmlformats.org/officeDocument/2006/customXml" ds:itemID="{BB7ABABC-03BA-4F8D-A2D6-C8B45368D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Automation</vt:lpstr>
      <vt:lpstr>{1}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dcterms:created xsi:type="dcterms:W3CDTF">2014-09-16T10:49:45Z</dcterms:created>
  <dcterms:modified xsi:type="dcterms:W3CDTF">2017-05-08T13:47:44Z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